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6f772d3c9a765fe/Documents/Personal/Maple Hills/Treasurer/"/>
    </mc:Choice>
  </mc:AlternateContent>
  <xr:revisionPtr revIDLastSave="0" documentId="8_{218991DC-2443-4760-8C55-3F7C1876701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09" sheetId="1" r:id="rId1"/>
    <sheet name="lifeguards" sheetId="2" r:id="rId2"/>
    <sheet name="Costs" sheetId="3" r:id="rId3"/>
  </sheets>
  <definedNames>
    <definedName name="_xlnm.Print_Area" localSheetId="0">'2009'!$A$2:$P$129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43" i="1" l="1"/>
  <c r="C54" i="1" s="1"/>
  <c r="C27" i="1"/>
  <c r="C6" i="1"/>
  <c r="C5" i="1"/>
  <c r="C124" i="1"/>
  <c r="C113" i="1"/>
  <c r="C99" i="1"/>
  <c r="C90" i="1"/>
  <c r="C78" i="1"/>
  <c r="C4" i="1"/>
  <c r="F122" i="1"/>
  <c r="F124" i="1" s="1"/>
  <c r="F113" i="1"/>
  <c r="F99" i="1"/>
  <c r="F90" i="1"/>
  <c r="F78" i="1"/>
  <c r="F54" i="1"/>
  <c r="F5" i="1"/>
  <c r="F14" i="1" s="1"/>
  <c r="F27" i="1"/>
  <c r="F126" i="1" l="1"/>
  <c r="C14" i="1"/>
  <c r="C29" i="1"/>
  <c r="C126" i="1"/>
  <c r="F29" i="1"/>
  <c r="F129" i="1" s="1"/>
  <c r="D46" i="1"/>
  <c r="D6" i="1"/>
  <c r="D5" i="1"/>
  <c r="D4" i="1"/>
  <c r="D21" i="1"/>
  <c r="C129" i="1" l="1"/>
  <c r="D124" i="1"/>
  <c r="D113" i="1"/>
  <c r="D99" i="1"/>
  <c r="D90" i="1"/>
  <c r="D78" i="1"/>
  <c r="D43" i="1"/>
  <c r="D54" i="1" s="1"/>
  <c r="D27" i="1"/>
  <c r="D14" i="1"/>
  <c r="D126" i="1" l="1"/>
  <c r="D29" i="1"/>
  <c r="E124" i="1"/>
  <c r="E46" i="1"/>
  <c r="E43" i="1"/>
  <c r="E6" i="1"/>
  <c r="E5" i="1"/>
  <c r="E4" i="1"/>
  <c r="E113" i="1"/>
  <c r="E99" i="1"/>
  <c r="E90" i="1"/>
  <c r="E78" i="1"/>
  <c r="E54" i="1"/>
  <c r="E21" i="1"/>
  <c r="E27" i="1" s="1"/>
  <c r="E126" i="1" l="1"/>
  <c r="D129" i="1"/>
  <c r="E14" i="1"/>
  <c r="E29" i="1" s="1"/>
  <c r="G21" i="1"/>
  <c r="E129" i="1" l="1"/>
  <c r="G94" i="1"/>
  <c r="G43" i="1" l="1"/>
  <c r="G6" i="1"/>
  <c r="G5" i="1"/>
  <c r="G4" i="1"/>
  <c r="H113" i="1"/>
  <c r="H97" i="1"/>
  <c r="H96" i="1"/>
  <c r="H95" i="1"/>
  <c r="H94" i="1"/>
  <c r="H90" i="1"/>
  <c r="H78" i="1"/>
  <c r="H43" i="1"/>
  <c r="H54" i="1" s="1"/>
  <c r="H21" i="1"/>
  <c r="H27" i="1" s="1"/>
  <c r="H6" i="1"/>
  <c r="H5" i="1"/>
  <c r="H4" i="1"/>
  <c r="H14" i="1" l="1"/>
  <c r="H29" i="1" s="1"/>
  <c r="H99" i="1"/>
  <c r="H126" i="1" s="1"/>
  <c r="G54" i="1"/>
  <c r="G27" i="1"/>
  <c r="G113" i="1"/>
  <c r="G90" i="1"/>
  <c r="G78" i="1"/>
  <c r="H129" i="1" l="1"/>
  <c r="G99" i="1"/>
  <c r="G126" i="1" s="1"/>
  <c r="G14" i="1"/>
  <c r="G29" i="1" s="1"/>
  <c r="G129" i="1" l="1"/>
  <c r="I113" i="1"/>
  <c r="I99" i="1"/>
  <c r="I82" i="1"/>
  <c r="I90" i="1" s="1"/>
  <c r="I78" i="1"/>
  <c r="I54" i="1"/>
  <c r="I21" i="1"/>
  <c r="I27" i="1" s="1"/>
  <c r="I6" i="1"/>
  <c r="I5" i="1"/>
  <c r="I4" i="1"/>
  <c r="I14" i="1" l="1"/>
  <c r="I29" i="1" s="1"/>
  <c r="I126" i="1"/>
  <c r="J82" i="1"/>
  <c r="J90" i="1" s="1"/>
  <c r="J21" i="1"/>
  <c r="J27" i="1" s="1"/>
  <c r="J4" i="1"/>
  <c r="J6" i="1"/>
  <c r="J113" i="1"/>
  <c r="J99" i="1"/>
  <c r="J78" i="1"/>
  <c r="J54" i="1"/>
  <c r="J5" i="1"/>
  <c r="J14" i="1" l="1"/>
  <c r="I129" i="1"/>
  <c r="J29" i="1"/>
  <c r="J126" i="1"/>
  <c r="J129" i="1" l="1"/>
  <c r="K21" i="1"/>
  <c r="K6" i="1" l="1"/>
  <c r="K5" i="1"/>
  <c r="K4" i="1"/>
  <c r="K113" i="1"/>
  <c r="K97" i="1"/>
  <c r="K99" i="1" s="1"/>
  <c r="K90" i="1"/>
  <c r="K78" i="1"/>
  <c r="K54" i="1"/>
  <c r="K27" i="1"/>
  <c r="K126" i="1" l="1"/>
  <c r="K14" i="1"/>
  <c r="K29" i="1" s="1"/>
  <c r="L6" i="1"/>
  <c r="L5" i="1"/>
  <c r="L4" i="1"/>
  <c r="L21" i="1"/>
  <c r="K129" i="1" l="1"/>
  <c r="L113" i="1"/>
  <c r="L97" i="1"/>
  <c r="L99" i="1" s="1"/>
  <c r="L90" i="1"/>
  <c r="L78" i="1"/>
  <c r="L43" i="1"/>
  <c r="L54" i="1" s="1"/>
  <c r="L27" i="1"/>
  <c r="L14" i="1"/>
  <c r="M97" i="1"/>
  <c r="M96" i="1"/>
  <c r="M95" i="1"/>
  <c r="M94" i="1"/>
  <c r="L126" i="1" l="1"/>
  <c r="L29" i="1"/>
  <c r="M6" i="1"/>
  <c r="M5" i="1"/>
  <c r="M4" i="1"/>
  <c r="N113" i="1"/>
  <c r="N97" i="1"/>
  <c r="N96" i="1"/>
  <c r="N95" i="1"/>
  <c r="N94" i="1"/>
  <c r="N90" i="1"/>
  <c r="N78" i="1"/>
  <c r="N43" i="1"/>
  <c r="N54" i="1" s="1"/>
  <c r="N21" i="1"/>
  <c r="N27" i="1" s="1"/>
  <c r="N9" i="1"/>
  <c r="N6" i="1"/>
  <c r="N5" i="1"/>
  <c r="N4" i="1"/>
  <c r="M99" i="1"/>
  <c r="M43" i="1"/>
  <c r="M54" i="1" s="1"/>
  <c r="M21" i="1"/>
  <c r="M27" i="1" s="1"/>
  <c r="M113" i="1"/>
  <c r="M90" i="1"/>
  <c r="M78" i="1"/>
  <c r="O27" i="1"/>
  <c r="O4" i="1"/>
  <c r="O5" i="1"/>
  <c r="O6" i="1"/>
  <c r="O113" i="1"/>
  <c r="O94" i="1"/>
  <c r="O95" i="1"/>
  <c r="O96" i="1"/>
  <c r="O97" i="1"/>
  <c r="O90" i="1"/>
  <c r="O78" i="1"/>
  <c r="O54" i="1"/>
  <c r="P4" i="1"/>
  <c r="P5" i="1"/>
  <c r="Q5" i="1"/>
  <c r="AA5" i="1"/>
  <c r="AA8" i="1" s="1"/>
  <c r="B7" i="3"/>
  <c r="B5" i="3"/>
  <c r="B6" i="3"/>
  <c r="B22" i="3"/>
  <c r="B17" i="3"/>
  <c r="P96" i="1"/>
  <c r="P95" i="1"/>
  <c r="P94" i="1"/>
  <c r="P6" i="1"/>
  <c r="P97" i="1"/>
  <c r="P27" i="1"/>
  <c r="P113" i="1"/>
  <c r="P90" i="1"/>
  <c r="P78" i="1"/>
  <c r="P54" i="1"/>
  <c r="Q4" i="1"/>
  <c r="Q6" i="1"/>
  <c r="Q27" i="1"/>
  <c r="Q113" i="1"/>
  <c r="Q99" i="1"/>
  <c r="Q90" i="1"/>
  <c r="Q78" i="1"/>
  <c r="Q54" i="1"/>
  <c r="S113" i="1"/>
  <c r="S99" i="1"/>
  <c r="S90" i="1"/>
  <c r="S78" i="1"/>
  <c r="S54" i="1"/>
  <c r="D17" i="2"/>
  <c r="D16" i="2"/>
  <c r="D15" i="2"/>
  <c r="D14" i="2"/>
  <c r="D9" i="2"/>
  <c r="D8" i="2"/>
  <c r="D7" i="2"/>
  <c r="D6" i="2"/>
  <c r="S14" i="1"/>
  <c r="S27" i="1"/>
  <c r="R99" i="1"/>
  <c r="R113" i="1"/>
  <c r="R90" i="1"/>
  <c r="R78" i="1"/>
  <c r="R54" i="1"/>
  <c r="R14" i="1"/>
  <c r="R27" i="1"/>
  <c r="AA36" i="1"/>
  <c r="AA56" i="1" s="1"/>
  <c r="AA78" i="1"/>
  <c r="AA84" i="1" s="1"/>
  <c r="AA93" i="1"/>
  <c r="AA94" i="1" s="1"/>
  <c r="AA103" i="1" s="1"/>
  <c r="AA21" i="1"/>
  <c r="L129" i="1" l="1"/>
  <c r="Q14" i="1"/>
  <c r="Q29" i="1" s="1"/>
  <c r="R29" i="1"/>
  <c r="Q126" i="1"/>
  <c r="O99" i="1"/>
  <c r="O126" i="1" s="1"/>
  <c r="N14" i="1"/>
  <c r="N29" i="1" s="1"/>
  <c r="N99" i="1"/>
  <c r="N126" i="1" s="1"/>
  <c r="R126" i="1"/>
  <c r="S126" i="1"/>
  <c r="P99" i="1"/>
  <c r="P126" i="1" s="1"/>
  <c r="M14" i="1"/>
  <c r="M29" i="1" s="1"/>
  <c r="AA110" i="1"/>
  <c r="M126" i="1"/>
  <c r="AA23" i="1"/>
  <c r="S29" i="1"/>
  <c r="P14" i="1"/>
  <c r="P29" i="1" s="1"/>
  <c r="B13" i="3"/>
  <c r="B28" i="3" s="1"/>
  <c r="O14" i="1"/>
  <c r="O29" i="1" s="1"/>
  <c r="AA112" i="1" l="1"/>
  <c r="Q129" i="1"/>
  <c r="N129" i="1"/>
  <c r="R129" i="1"/>
  <c r="P129" i="1"/>
  <c r="B25" i="3"/>
  <c r="M129" i="1"/>
  <c r="S129" i="1"/>
  <c r="O129" i="1"/>
</calcChain>
</file>

<file path=xl/sharedStrings.xml><?xml version="1.0" encoding="utf-8"?>
<sst xmlns="http://schemas.openxmlformats.org/spreadsheetml/2006/main" count="234" uniqueCount="207">
  <si>
    <t>Budget</t>
  </si>
  <si>
    <t>Total Income</t>
  </si>
  <si>
    <t>Operating Income:</t>
  </si>
  <si>
    <t>03010</t>
  </si>
  <si>
    <t>03020</t>
  </si>
  <si>
    <t>03030</t>
  </si>
  <si>
    <t>03160</t>
  </si>
  <si>
    <t>03240</t>
  </si>
  <si>
    <t>03250</t>
  </si>
  <si>
    <t>03300</t>
  </si>
  <si>
    <t>Interest Income</t>
  </si>
  <si>
    <t>Legal Reimbursement</t>
  </si>
  <si>
    <t>Miscellaneous Income</t>
  </si>
  <si>
    <t>Total Operating Income</t>
  </si>
  <si>
    <t>Project Income:</t>
  </si>
  <si>
    <t>03120</t>
  </si>
  <si>
    <t>03130</t>
  </si>
  <si>
    <t>03140</t>
  </si>
  <si>
    <t>03170</t>
  </si>
  <si>
    <t>03180</t>
  </si>
  <si>
    <t>03190</t>
  </si>
  <si>
    <t>03210</t>
  </si>
  <si>
    <t>New Member Registration Fees</t>
  </si>
  <si>
    <t>Swim Team Guard Reimbursement</t>
  </si>
  <si>
    <t>Pool Guest Charges</t>
  </si>
  <si>
    <t>Pool Rental</t>
  </si>
  <si>
    <t>Swim Lessons</t>
  </si>
  <si>
    <t>Total Project Income</t>
  </si>
  <si>
    <t>Expenses:</t>
  </si>
  <si>
    <t>Administrative Expenses:</t>
  </si>
  <si>
    <t>05100</t>
  </si>
  <si>
    <t>05200</t>
  </si>
  <si>
    <t>05205</t>
  </si>
  <si>
    <t>05206</t>
  </si>
  <si>
    <t>05207</t>
  </si>
  <si>
    <t>05300</t>
  </si>
  <si>
    <t>05400</t>
  </si>
  <si>
    <t>05410</t>
  </si>
  <si>
    <t>05450</t>
  </si>
  <si>
    <t>05500</t>
  </si>
  <si>
    <t>05610</t>
  </si>
  <si>
    <t>05700</t>
  </si>
  <si>
    <t>05800</t>
  </si>
  <si>
    <t>05810</t>
  </si>
  <si>
    <t>Payroll Taxes</t>
  </si>
  <si>
    <t>Office Expenses</t>
  </si>
  <si>
    <t>Annual Meeting Expenses</t>
  </si>
  <si>
    <t>Bank Service Charges</t>
  </si>
  <si>
    <t>Business Telephone</t>
  </si>
  <si>
    <t>Legal &amp; Professional Services</t>
  </si>
  <si>
    <t>Bad Debt Expense</t>
  </si>
  <si>
    <t>Insurance Expense</t>
  </si>
  <si>
    <t>Licenses and Permits</t>
  </si>
  <si>
    <t>Income Taxes</t>
  </si>
  <si>
    <t>Property Taxes</t>
  </si>
  <si>
    <t>Street Lights</t>
  </si>
  <si>
    <t>Total Administrative Expenses</t>
  </si>
  <si>
    <t>05803</t>
  </si>
  <si>
    <t>Easter Egg Hunt</t>
  </si>
  <si>
    <t>05804</t>
  </si>
  <si>
    <t>Total Spec Project Expenses</t>
  </si>
  <si>
    <t>Pool Labor Expenses:</t>
  </si>
  <si>
    <t>Special Projects Expenses:</t>
  </si>
  <si>
    <t>07301</t>
  </si>
  <si>
    <t>Park Expenses:</t>
  </si>
  <si>
    <t>07120</t>
  </si>
  <si>
    <t>07121</t>
  </si>
  <si>
    <t>07132</t>
  </si>
  <si>
    <t>07133</t>
  </si>
  <si>
    <t>07134</t>
  </si>
  <si>
    <t>07135</t>
  </si>
  <si>
    <t>07136</t>
  </si>
  <si>
    <t>Park Wages</t>
  </si>
  <si>
    <t>Park Equipment</t>
  </si>
  <si>
    <t>Park - Garbage</t>
  </si>
  <si>
    <t>Park Maintenance</t>
  </si>
  <si>
    <t>Park - Supplies</t>
  </si>
  <si>
    <t>Park Expenses - Other</t>
  </si>
  <si>
    <t>Total Park Expenses</t>
  </si>
  <si>
    <t>07302</t>
  </si>
  <si>
    <t>07304</t>
  </si>
  <si>
    <t>07305</t>
  </si>
  <si>
    <t>Total Pool labor Expenses</t>
  </si>
  <si>
    <t>Pool Expenses:</t>
  </si>
  <si>
    <t>07307</t>
  </si>
  <si>
    <t>07308</t>
  </si>
  <si>
    <t>07309</t>
  </si>
  <si>
    <t>07310</t>
  </si>
  <si>
    <t>07311</t>
  </si>
  <si>
    <t>07312</t>
  </si>
  <si>
    <t>07314</t>
  </si>
  <si>
    <t>07315</t>
  </si>
  <si>
    <t>Pool Chemicals</t>
  </si>
  <si>
    <t>Pool Electricity</t>
  </si>
  <si>
    <t>Pool Equip, Furn, &amp; Supplies</t>
  </si>
  <si>
    <t>Pool Natural Gas</t>
  </si>
  <si>
    <t>Pool Office Supplies</t>
  </si>
  <si>
    <t>Pool Permits &amp; Licenses</t>
  </si>
  <si>
    <t>Pool Maintenance &amp; Repair</t>
  </si>
  <si>
    <t>Pool Water</t>
  </si>
  <si>
    <t>Pool Expense Other</t>
  </si>
  <si>
    <t>Total Pool Expenses</t>
  </si>
  <si>
    <t>Total Operating Expenses</t>
  </si>
  <si>
    <t>Net Operating Profit/Loss</t>
  </si>
  <si>
    <t>Lifeguard wages</t>
  </si>
  <si>
    <t>2005 actual</t>
  </si>
  <si>
    <t>Managers</t>
  </si>
  <si>
    <t>Item</t>
  </si>
  <si>
    <t>Hours</t>
  </si>
  <si>
    <t>Rate</t>
  </si>
  <si>
    <t>Total</t>
  </si>
  <si>
    <t>Lifeguards</t>
  </si>
  <si>
    <t>Swim Team</t>
  </si>
  <si>
    <t>2006 proposed</t>
  </si>
  <si>
    <t>Manager</t>
  </si>
  <si>
    <t>07313</t>
  </si>
  <si>
    <t>05900</t>
  </si>
  <si>
    <t>Miscellaneous Expense</t>
  </si>
  <si>
    <t>Special Projects</t>
  </si>
  <si>
    <t>Park Field Rental</t>
  </si>
  <si>
    <t>Recoup delinquent accounts</t>
  </si>
  <si>
    <t>05210</t>
  </si>
  <si>
    <t>05215</t>
  </si>
  <si>
    <t>Fee Adjustment</t>
  </si>
  <si>
    <t>Collection Fees</t>
  </si>
  <si>
    <t>05805</t>
  </si>
  <si>
    <t>05806</t>
  </si>
  <si>
    <t>05807</t>
  </si>
  <si>
    <t>Pool Equipment Replacement</t>
  </si>
  <si>
    <t>Pool Deck Replacement</t>
  </si>
  <si>
    <t>03350</t>
  </si>
  <si>
    <t>Loan Proceeds</t>
  </si>
  <si>
    <t>Cost information</t>
  </si>
  <si>
    <t>Pool equipment replacement</t>
  </si>
  <si>
    <t>Pool deck replacement</t>
  </si>
  <si>
    <t>Pool code repairs</t>
  </si>
  <si>
    <t>Tennis court repairs</t>
  </si>
  <si>
    <t>Ball field drainage</t>
  </si>
  <si>
    <t>Sealcoat/restripe pool lot</t>
  </si>
  <si>
    <t>Playgound chips/repairs</t>
  </si>
  <si>
    <t>Security cameras</t>
  </si>
  <si>
    <t>Build-up reserves</t>
  </si>
  <si>
    <t>Necessities</t>
  </si>
  <si>
    <t>Improvements</t>
  </si>
  <si>
    <t>Grand total</t>
  </si>
  <si>
    <t>Current reserves</t>
  </si>
  <si>
    <t>Loan</t>
  </si>
  <si>
    <t>Pool Code repairs</t>
  </si>
  <si>
    <t>05808</t>
  </si>
  <si>
    <t>05809</t>
  </si>
  <si>
    <t>05811</t>
  </si>
  <si>
    <t>05812</t>
  </si>
  <si>
    <t>Playground chips/repairs</t>
  </si>
  <si>
    <t>05814</t>
  </si>
  <si>
    <t>Clubhouse (2010 budget)</t>
  </si>
  <si>
    <t>6 year accrual needed</t>
  </si>
  <si>
    <t xml:space="preserve">Pool Management </t>
  </si>
  <si>
    <t>Pool Guard Wages</t>
  </si>
  <si>
    <t xml:space="preserve">Swim Lesson Wages </t>
  </si>
  <si>
    <t xml:space="preserve">Swim Team Wages </t>
  </si>
  <si>
    <t>03050</t>
  </si>
  <si>
    <t>New home owner transfer fee</t>
  </si>
  <si>
    <t>Ball field repairs</t>
  </si>
  <si>
    <t>Clubhouse expenses</t>
  </si>
  <si>
    <t>Baby Pool Repairs</t>
  </si>
  <si>
    <t>Clubhouse Electricity</t>
  </si>
  <si>
    <t xml:space="preserve">Clubhouse Water </t>
  </si>
  <si>
    <t>Clubhouse Maintenance</t>
  </si>
  <si>
    <t>Clubhouse Equip, Furn, Supplies</t>
  </si>
  <si>
    <t>03220</t>
  </si>
  <si>
    <t>Total Clubhouse Expenses</t>
  </si>
  <si>
    <t xml:space="preserve">Park Management </t>
  </si>
  <si>
    <t>Clubhouse Mortgage</t>
  </si>
  <si>
    <t>Dues-Estate 33 @ $480 w/5 no pays</t>
  </si>
  <si>
    <t xml:space="preserve">Clubhouse rental </t>
  </si>
  <si>
    <t>03230</t>
  </si>
  <si>
    <t>Clubhouse fundraising</t>
  </si>
  <si>
    <t>07450</t>
  </si>
  <si>
    <t>07455</t>
  </si>
  <si>
    <t>Clubhouse natural gas</t>
  </si>
  <si>
    <t>07460</t>
  </si>
  <si>
    <t>07465</t>
  </si>
  <si>
    <t>Clubhouse Internet/security</t>
  </si>
  <si>
    <t>07470</t>
  </si>
  <si>
    <t>08100</t>
  </si>
  <si>
    <t>07475</t>
  </si>
  <si>
    <t>Actual</t>
  </si>
  <si>
    <t>Dues-House 339 @  $480 w/35 no pays</t>
  </si>
  <si>
    <t>Dues-Lot 47 @ $240 assume 14 no pays</t>
  </si>
  <si>
    <t>Management company Fee $900/mo</t>
  </si>
  <si>
    <t>Lien Charges (refile &amp; new 20)</t>
  </si>
  <si>
    <t>National Night Out</t>
  </si>
  <si>
    <t>Labor Day Campout</t>
  </si>
  <si>
    <t>Fall event - Pumpkin Carving</t>
  </si>
  <si>
    <t>Winter event - Snowman contest/polar plunge</t>
  </si>
  <si>
    <t>Spring event - TBD</t>
  </si>
  <si>
    <t>Santa Breakfast</t>
  </si>
  <si>
    <t>05815</t>
  </si>
  <si>
    <t>05816</t>
  </si>
  <si>
    <t>05817</t>
  </si>
  <si>
    <t>05818</t>
  </si>
  <si>
    <t>05819</t>
  </si>
  <si>
    <t>05820</t>
  </si>
  <si>
    <t>05821</t>
  </si>
  <si>
    <t>05822</t>
  </si>
  <si>
    <t>Outside Memberships (60 @ $480)</t>
  </si>
  <si>
    <t>Summer event -  4th of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</si>
</sst>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&quot;$&quot;#,##0"/>
  </numFmts>
  <fonts count="9" x14ac:knownFonts="1">
    <font>
      <sz val="10"/>
      <name val="Arial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49" fontId="1" fillId="0" borderId="0" xfId="0" applyNumberFormat="1" applyFont="1"/>
    <xf numFmtId="0" fontId="2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4" fontId="3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4" fontId="2" fillId="0" borderId="0" xfId="0" applyNumberFormat="1" applyFont="1"/>
    <xf numFmtId="4" fontId="3" fillId="0" borderId="1" xfId="0" applyNumberFormat="1" applyFont="1" applyBorder="1"/>
    <xf numFmtId="164" fontId="3" fillId="0" borderId="1" xfId="0" applyNumberFormat="1" applyFont="1" applyBorder="1"/>
    <xf numFmtId="164" fontId="3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0" fontId="1" fillId="0" borderId="0" xfId="0" applyNumberFormat="1" applyFont="1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4" fontId="5" fillId="0" borderId="8" xfId="0" applyNumberFormat="1" applyFont="1" applyBorder="1"/>
    <xf numFmtId="4" fontId="5" fillId="0" borderId="9" xfId="0" applyNumberFormat="1" applyFont="1" applyBorder="1"/>
    <xf numFmtId="0" fontId="5" fillId="0" borderId="10" xfId="0" applyFont="1" applyBorder="1"/>
    <xf numFmtId="0" fontId="5" fillId="0" borderId="11" xfId="0" applyFont="1" applyBorder="1"/>
    <xf numFmtId="4" fontId="5" fillId="0" borderId="11" xfId="0" applyNumberFormat="1" applyFont="1" applyBorder="1"/>
    <xf numFmtId="4" fontId="5" fillId="0" borderId="12" xfId="0" applyNumberFormat="1" applyFont="1" applyBorder="1"/>
    <xf numFmtId="0" fontId="5" fillId="0" borderId="13" xfId="0" applyFont="1" applyBorder="1"/>
    <xf numFmtId="0" fontId="5" fillId="0" borderId="14" xfId="0" applyFont="1" applyBorder="1"/>
    <xf numFmtId="4" fontId="5" fillId="0" borderId="14" xfId="0" applyNumberFormat="1" applyFont="1" applyBorder="1"/>
    <xf numFmtId="4" fontId="5" fillId="0" borderId="15" xfId="0" applyNumberFormat="1" applyFont="1" applyBorder="1"/>
    <xf numFmtId="40" fontId="1" fillId="0" borderId="17" xfId="0" applyNumberFormat="1" applyFont="1" applyBorder="1"/>
    <xf numFmtId="40" fontId="1" fillId="0" borderId="18" xfId="0" applyNumberFormat="1" applyFont="1" applyBorder="1"/>
    <xf numFmtId="40" fontId="1" fillId="0" borderId="11" xfId="0" applyNumberFormat="1" applyFont="1" applyBorder="1"/>
    <xf numFmtId="40" fontId="1" fillId="0" borderId="12" xfId="0" applyNumberFormat="1" applyFont="1" applyBorder="1"/>
    <xf numFmtId="40" fontId="1" fillId="0" borderId="19" xfId="0" applyNumberFormat="1" applyFont="1" applyBorder="1"/>
    <xf numFmtId="40" fontId="1" fillId="0" borderId="20" xfId="0" applyNumberFormat="1" applyFont="1" applyBorder="1"/>
    <xf numFmtId="40" fontId="1" fillId="0" borderId="21" xfId="0" applyNumberFormat="1" applyFont="1" applyBorder="1"/>
    <xf numFmtId="40" fontId="1" fillId="0" borderId="22" xfId="0" applyNumberFormat="1" applyFont="1" applyBorder="1"/>
    <xf numFmtId="40" fontId="1" fillId="0" borderId="23" xfId="0" applyNumberFormat="1" applyFont="1" applyBorder="1"/>
    <xf numFmtId="0" fontId="7" fillId="0" borderId="0" xfId="0" applyFont="1"/>
    <xf numFmtId="4" fontId="7" fillId="0" borderId="0" xfId="0" applyNumberFormat="1" applyFont="1"/>
    <xf numFmtId="4" fontId="1" fillId="0" borderId="0" xfId="0" applyNumberFormat="1" applyFont="1"/>
    <xf numFmtId="40" fontId="1" fillId="0" borderId="14" xfId="0" applyNumberFormat="1" applyFont="1" applyBorder="1"/>
    <xf numFmtId="40" fontId="1" fillId="0" borderId="24" xfId="0" applyNumberFormat="1" applyFont="1" applyBorder="1"/>
    <xf numFmtId="40" fontId="1" fillId="0" borderId="25" xfId="0" applyNumberFormat="1" applyFont="1" applyBorder="1"/>
    <xf numFmtId="165" fontId="0" fillId="0" borderId="0" xfId="0" applyNumberFormat="1"/>
    <xf numFmtId="0" fontId="8" fillId="0" borderId="0" xfId="0" applyFont="1"/>
    <xf numFmtId="165" fontId="8" fillId="0" borderId="0" xfId="0" applyNumberFormat="1" applyFont="1"/>
    <xf numFmtId="40" fontId="1" fillId="2" borderId="17" xfId="0" applyNumberFormat="1" applyFont="1" applyFill="1" applyBorder="1"/>
    <xf numFmtId="40" fontId="1" fillId="2" borderId="11" xfId="0" applyNumberFormat="1" applyFont="1" applyFill="1" applyBorder="1"/>
    <xf numFmtId="40" fontId="1" fillId="0" borderId="16" xfId="0" applyNumberFormat="1" applyFont="1" applyBorder="1"/>
    <xf numFmtId="40" fontId="1" fillId="0" borderId="10" xfId="0" applyNumberFormat="1" applyFont="1" applyBorder="1"/>
    <xf numFmtId="40" fontId="1" fillId="0" borderId="13" xfId="0" applyNumberFormat="1" applyFont="1" applyBorder="1"/>
    <xf numFmtId="40" fontId="1" fillId="2" borderId="10" xfId="0" applyNumberFormat="1" applyFont="1" applyFill="1" applyBorder="1"/>
    <xf numFmtId="40" fontId="1" fillId="2" borderId="16" xfId="0" applyNumberFormat="1" applyFont="1" applyFill="1" applyBorder="1"/>
    <xf numFmtId="40" fontId="1" fillId="2" borderId="30" xfId="0" applyNumberFormat="1" applyFont="1" applyFill="1" applyBorder="1"/>
    <xf numFmtId="40" fontId="1" fillId="2" borderId="31" xfId="0" applyNumberFormat="1" applyFont="1" applyFill="1" applyBorder="1"/>
    <xf numFmtId="49" fontId="1" fillId="0" borderId="26" xfId="0" applyNumberFormat="1" applyFont="1" applyBorder="1" applyAlignment="1">
      <alignment horizontal="left"/>
    </xf>
    <xf numFmtId="0" fontId="1" fillId="0" borderId="27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9" xfId="0" applyNumberFormat="1" applyFont="1" applyBorder="1" applyAlignment="1">
      <alignment horizontal="left"/>
    </xf>
    <xf numFmtId="49" fontId="1" fillId="0" borderId="30" xfId="0" applyNumberFormat="1" applyFont="1" applyBorder="1"/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0" fontId="1" fillId="0" borderId="30" xfId="0" applyNumberFormat="1" applyFont="1" applyBorder="1"/>
    <xf numFmtId="40" fontId="1" fillId="0" borderId="31" xfId="0" applyNumberFormat="1" applyFont="1" applyBorder="1"/>
    <xf numFmtId="0" fontId="1" fillId="0" borderId="30" xfId="0" applyFont="1" applyBorder="1"/>
    <xf numFmtId="49" fontId="1" fillId="0" borderId="29" xfId="0" quotePrefix="1" applyNumberFormat="1" applyFont="1" applyBorder="1" applyAlignment="1">
      <alignment horizontal="left"/>
    </xf>
    <xf numFmtId="0" fontId="1" fillId="0" borderId="29" xfId="0" quotePrefix="1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/>
    <xf numFmtId="40" fontId="1" fillId="0" borderId="33" xfId="0" applyNumberFormat="1" applyFont="1" applyBorder="1"/>
    <xf numFmtId="40" fontId="1" fillId="0" borderId="34" xfId="0" applyNumberFormat="1" applyFont="1" applyBorder="1"/>
    <xf numFmtId="49" fontId="1" fillId="2" borderId="30" xfId="0" applyNumberFormat="1" applyFont="1" applyFill="1" applyBorder="1"/>
    <xf numFmtId="0" fontId="1" fillId="3" borderId="0" xfId="0" applyFont="1" applyFill="1"/>
    <xf numFmtId="0" fontId="1" fillId="2" borderId="27" xfId="0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horizontal="center"/>
    </xf>
    <xf numFmtId="40" fontId="1" fillId="2" borderId="3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P135"/>
  <sheetViews>
    <sheetView tabSelected="1" view="pageBreakPreview" topLeftCell="A99" zoomScaleNormal="100" workbookViewId="0">
      <selection activeCell="D27" sqref="D27"/>
    </sheetView>
  </sheetViews>
  <sheetFormatPr defaultColWidth="9.1796875" defaultRowHeight="11.5" x14ac:dyDescent="0.25"/>
  <cols>
    <col min="1" max="1" width="23.54296875" style="4" bestFit="1" customWidth="1"/>
    <col min="2" max="2" width="38.81640625" style="4" bestFit="1" customWidth="1"/>
    <col min="3" max="3" width="10.453125" style="4" bestFit="1" customWidth="1"/>
    <col min="4" max="4" width="11.81640625" style="80" customWidth="1"/>
    <col min="5" max="6" width="11.81640625" style="4" hidden="1" customWidth="1"/>
    <col min="7" max="11" width="10.453125" style="4" hidden="1" customWidth="1"/>
    <col min="12" max="12" width="15.26953125" style="4" hidden="1" customWidth="1"/>
    <col min="13" max="13" width="13.54296875" style="4" hidden="1" customWidth="1"/>
    <col min="14" max="18" width="13.7265625" style="4" hidden="1" customWidth="1"/>
    <col min="19" max="19" width="9.7265625" style="4" hidden="1" customWidth="1"/>
    <col min="20" max="20" width="3" style="4" hidden="1" customWidth="1"/>
    <col min="21" max="21" width="3" style="4" customWidth="1"/>
    <col min="22" max="22" width="23.81640625" style="4" customWidth="1"/>
    <col min="23" max="23" width="13.453125" style="4" customWidth="1"/>
    <col min="24" max="24" width="11.453125" style="4" customWidth="1"/>
    <col min="25" max="25" width="11.453125" style="8" customWidth="1"/>
    <col min="26" max="26" width="2.26953125" style="2" customWidth="1"/>
    <col min="27" max="27" width="9.7265625" style="8" hidden="1" customWidth="1"/>
    <col min="28" max="28" width="2.26953125" style="2" customWidth="1"/>
    <col min="29" max="29" width="9.81640625" style="2" bestFit="1" customWidth="1"/>
    <col min="30" max="30" width="2.26953125" style="2" customWidth="1"/>
    <col min="31" max="16384" width="9.1796875" style="2"/>
  </cols>
  <sheetData>
    <row r="2" spans="1:42" ht="12.5" x14ac:dyDescent="0.25">
      <c r="A2" s="61" t="s">
        <v>2</v>
      </c>
      <c r="B2" s="62"/>
      <c r="C2" s="81">
        <v>2023</v>
      </c>
      <c r="D2" s="81">
        <v>2022</v>
      </c>
      <c r="E2" s="63">
        <v>2021</v>
      </c>
      <c r="F2" s="63">
        <v>2020</v>
      </c>
      <c r="G2" s="63">
        <v>2020</v>
      </c>
      <c r="H2" s="63">
        <v>2019</v>
      </c>
      <c r="I2" s="63">
        <v>2017</v>
      </c>
      <c r="J2" s="63">
        <v>2016</v>
      </c>
      <c r="K2" s="64">
        <v>2015</v>
      </c>
      <c r="L2" s="13">
        <v>2014</v>
      </c>
      <c r="M2" s="13">
        <v>2013</v>
      </c>
      <c r="N2" s="13">
        <v>2012</v>
      </c>
      <c r="O2" s="13">
        <v>2009</v>
      </c>
      <c r="P2" s="13">
        <v>2008</v>
      </c>
      <c r="Q2" s="13">
        <v>2007</v>
      </c>
      <c r="R2" s="13">
        <v>2006</v>
      </c>
      <c r="S2" s="13">
        <v>2005</v>
      </c>
      <c r="T2"/>
      <c r="U2"/>
      <c r="V2" s="43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ht="12.5" x14ac:dyDescent="0.25">
      <c r="A3" s="65"/>
      <c r="B3" s="66"/>
      <c r="C3" s="82" t="s">
        <v>0</v>
      </c>
      <c r="D3" s="82" t="s">
        <v>0</v>
      </c>
      <c r="E3" s="67" t="s">
        <v>0</v>
      </c>
      <c r="F3" s="67" t="s">
        <v>186</v>
      </c>
      <c r="G3" s="67" t="s">
        <v>0</v>
      </c>
      <c r="H3" s="67" t="s">
        <v>0</v>
      </c>
      <c r="I3" s="67" t="s">
        <v>0</v>
      </c>
      <c r="J3" s="67" t="s">
        <v>0</v>
      </c>
      <c r="K3" s="68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  <c r="Q3" s="3" t="s">
        <v>0</v>
      </c>
      <c r="R3" s="3" t="s">
        <v>0</v>
      </c>
      <c r="S3" s="3" t="s">
        <v>0</v>
      </c>
      <c r="T3"/>
      <c r="U3"/>
      <c r="V3" s="43"/>
      <c r="W3"/>
      <c r="X3"/>
      <c r="Y3"/>
      <c r="Z3" s="6"/>
      <c r="AA3" s="5"/>
      <c r="AB3" s="6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ht="12.5" x14ac:dyDescent="0.25">
      <c r="A4" s="65" t="s">
        <v>3</v>
      </c>
      <c r="B4" s="66" t="s">
        <v>173</v>
      </c>
      <c r="C4" s="59">
        <f>(33-5)*480</f>
        <v>13440</v>
      </c>
      <c r="D4" s="59">
        <f>(33-5)*480</f>
        <v>13440</v>
      </c>
      <c r="E4" s="69">
        <f>(33-3)*480</f>
        <v>14400</v>
      </c>
      <c r="F4" s="69">
        <v>15055</v>
      </c>
      <c r="G4" s="69">
        <f>(33-3)*460</f>
        <v>13800</v>
      </c>
      <c r="H4" s="69">
        <f>(33-3)*440</f>
        <v>13200</v>
      </c>
      <c r="I4" s="69">
        <f>(33-3)*420</f>
        <v>12600</v>
      </c>
      <c r="J4" s="69">
        <f>(33-3)*420</f>
        <v>12600</v>
      </c>
      <c r="K4" s="70">
        <f>(33-4)*420</f>
        <v>12180</v>
      </c>
      <c r="L4" s="54">
        <f>34*420*0.9</f>
        <v>12852</v>
      </c>
      <c r="M4" s="34">
        <f>34*400*0.9</f>
        <v>12240</v>
      </c>
      <c r="N4" s="34">
        <f>34*382.57*0.9</f>
        <v>11706.642</v>
      </c>
      <c r="O4" s="34">
        <f>(31-2)*330</f>
        <v>9570</v>
      </c>
      <c r="P4" s="34">
        <f>265*64*1.05</f>
        <v>17808</v>
      </c>
      <c r="Q4" s="34">
        <f>265*63</f>
        <v>16695</v>
      </c>
      <c r="R4" s="34">
        <v>17640</v>
      </c>
      <c r="S4" s="35">
        <v>0</v>
      </c>
      <c r="T4"/>
      <c r="U4"/>
      <c r="V4" s="44"/>
      <c r="W4"/>
      <c r="X4"/>
      <c r="Y4"/>
      <c r="Z4" s="6"/>
      <c r="AB4" s="6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ht="12.5" x14ac:dyDescent="0.25">
      <c r="A5" s="65" t="s">
        <v>4</v>
      </c>
      <c r="B5" s="66" t="s">
        <v>187</v>
      </c>
      <c r="C5" s="59">
        <f>(339-35)*480</f>
        <v>145920</v>
      </c>
      <c r="D5" s="59">
        <f>(339-42)*480</f>
        <v>142560</v>
      </c>
      <c r="E5" s="69">
        <f>(339-38)*480</f>
        <v>144480</v>
      </c>
      <c r="F5" s="69">
        <f>154113-4931-3772</f>
        <v>145410</v>
      </c>
      <c r="G5" s="69">
        <f>(339-29)*460</f>
        <v>142600</v>
      </c>
      <c r="H5" s="69">
        <f>(339-29)*440</f>
        <v>136400</v>
      </c>
      <c r="I5" s="69">
        <f>(339-29)*420</f>
        <v>130200</v>
      </c>
      <c r="J5" s="69">
        <f>(339-29)*420</f>
        <v>130200</v>
      </c>
      <c r="K5" s="70">
        <f>(339-29)*420</f>
        <v>130200</v>
      </c>
      <c r="L5" s="55">
        <f>330*420*0.9</f>
        <v>124740</v>
      </c>
      <c r="M5" s="36">
        <f>330*400*0.9</f>
        <v>118800</v>
      </c>
      <c r="N5" s="36">
        <f>330*382.57*0.9</f>
        <v>113623.29</v>
      </c>
      <c r="O5" s="36">
        <f>300*330</f>
        <v>99000</v>
      </c>
      <c r="P5" s="36">
        <f>265*283*1.05</f>
        <v>78744.75</v>
      </c>
      <c r="Q5" s="36">
        <f>265*280</f>
        <v>74200</v>
      </c>
      <c r="R5" s="36">
        <v>74340</v>
      </c>
      <c r="S5" s="37">
        <v>85932</v>
      </c>
      <c r="T5"/>
      <c r="U5"/>
      <c r="V5" s="44"/>
      <c r="W5"/>
      <c r="X5"/>
      <c r="Y5"/>
      <c r="Z5" s="6"/>
      <c r="AA5" s="5">
        <f>73135.16+8695</f>
        <v>81830.16</v>
      </c>
      <c r="AB5" s="6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ht="13" thickBot="1" x14ac:dyDescent="0.3">
      <c r="A6" s="65" t="s">
        <v>5</v>
      </c>
      <c r="B6" s="66" t="s">
        <v>188</v>
      </c>
      <c r="C6" s="59">
        <f>(47-14)*240</f>
        <v>7920</v>
      </c>
      <c r="D6" s="59">
        <f>(47-9)*240</f>
        <v>9120</v>
      </c>
      <c r="E6" s="69">
        <f>(47-8)*240</f>
        <v>9360</v>
      </c>
      <c r="F6" s="69">
        <v>9200</v>
      </c>
      <c r="G6" s="69">
        <f>(47-13)*230</f>
        <v>7820</v>
      </c>
      <c r="H6" s="69">
        <f>(47-13)*220</f>
        <v>7480</v>
      </c>
      <c r="I6" s="69">
        <f>(47-13)*210</f>
        <v>7140</v>
      </c>
      <c r="J6" s="69">
        <f>(47-13)*210</f>
        <v>7140</v>
      </c>
      <c r="K6" s="70">
        <f>(47-14)*210</f>
        <v>6930</v>
      </c>
      <c r="L6" s="55">
        <f>52*210*0.8</f>
        <v>8736</v>
      </c>
      <c r="M6" s="36">
        <f>52*200*0.8</f>
        <v>8320</v>
      </c>
      <c r="N6" s="36">
        <f>52*190.73*0.8</f>
        <v>7934.3679999999995</v>
      </c>
      <c r="O6" s="36">
        <f>(50-15)*165</f>
        <v>5775</v>
      </c>
      <c r="P6" s="36">
        <f>107*44*1.05</f>
        <v>4943.4000000000005</v>
      </c>
      <c r="Q6" s="36">
        <f>107*43</f>
        <v>4601</v>
      </c>
      <c r="R6" s="36">
        <v>4600</v>
      </c>
      <c r="S6" s="37">
        <v>2163</v>
      </c>
      <c r="T6"/>
      <c r="U6"/>
      <c r="V6" s="44"/>
      <c r="W6"/>
      <c r="X6"/>
      <c r="Y6"/>
      <c r="Z6" s="6"/>
      <c r="AA6" s="9">
        <v>1671.35</v>
      </c>
      <c r="AB6" s="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ht="12.5" x14ac:dyDescent="0.25">
      <c r="A7" s="65" t="s">
        <v>160</v>
      </c>
      <c r="B7" s="66" t="s">
        <v>161</v>
      </c>
      <c r="C7" s="59">
        <v>4500</v>
      </c>
      <c r="D7" s="59">
        <v>2000</v>
      </c>
      <c r="E7" s="69">
        <v>2000</v>
      </c>
      <c r="F7" s="69">
        <v>11500</v>
      </c>
      <c r="G7" s="69">
        <v>2000</v>
      </c>
      <c r="H7" s="69">
        <v>2000</v>
      </c>
      <c r="I7" s="69">
        <v>0</v>
      </c>
      <c r="J7" s="69">
        <v>0</v>
      </c>
      <c r="K7" s="70"/>
      <c r="L7" s="55"/>
      <c r="M7" s="36"/>
      <c r="N7" s="36"/>
      <c r="O7" s="36"/>
      <c r="P7" s="36"/>
      <c r="Q7" s="36"/>
      <c r="R7" s="36"/>
      <c r="S7" s="37"/>
      <c r="T7"/>
      <c r="U7"/>
      <c r="V7" s="44"/>
      <c r="W7"/>
      <c r="X7"/>
      <c r="Y7"/>
      <c r="Z7" s="6"/>
      <c r="AA7" s="5"/>
      <c r="AB7" s="6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ht="12.5" x14ac:dyDescent="0.25">
      <c r="A8" s="65" t="s">
        <v>6</v>
      </c>
      <c r="B8" s="66" t="s">
        <v>120</v>
      </c>
      <c r="C8" s="59">
        <v>2500</v>
      </c>
      <c r="D8" s="59">
        <v>5000</v>
      </c>
      <c r="E8" s="69">
        <v>5000</v>
      </c>
      <c r="F8" s="69">
        <v>279</v>
      </c>
      <c r="G8" s="69">
        <v>5000</v>
      </c>
      <c r="H8" s="69">
        <v>5000</v>
      </c>
      <c r="I8" s="69">
        <v>3500</v>
      </c>
      <c r="J8" s="69">
        <v>3500</v>
      </c>
      <c r="K8" s="70">
        <v>3000</v>
      </c>
      <c r="L8" s="55">
        <v>3000</v>
      </c>
      <c r="M8" s="36">
        <v>5000</v>
      </c>
      <c r="N8" s="36">
        <v>5000</v>
      </c>
      <c r="O8" s="36">
        <v>5000</v>
      </c>
      <c r="P8" s="36">
        <v>0</v>
      </c>
      <c r="Q8" s="36">
        <v>100</v>
      </c>
      <c r="R8" s="36">
        <v>100</v>
      </c>
      <c r="S8" s="37">
        <v>100</v>
      </c>
      <c r="T8"/>
      <c r="U8"/>
      <c r="V8" s="44"/>
      <c r="W8"/>
      <c r="X8"/>
      <c r="Y8"/>
      <c r="Z8" s="6"/>
      <c r="AA8" s="7">
        <f>SUM(AA3:AA6)</f>
        <v>83501.510000000009</v>
      </c>
      <c r="AB8" s="6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ht="12.5" x14ac:dyDescent="0.25">
      <c r="A9" s="65" t="s">
        <v>7</v>
      </c>
      <c r="B9" s="66" t="s">
        <v>10</v>
      </c>
      <c r="C9" s="59">
        <v>1100</v>
      </c>
      <c r="D9" s="59">
        <v>1100</v>
      </c>
      <c r="E9" s="69">
        <v>2000</v>
      </c>
      <c r="F9" s="69">
        <v>1093</v>
      </c>
      <c r="G9" s="69">
        <v>2000</v>
      </c>
      <c r="H9" s="69">
        <v>2000</v>
      </c>
      <c r="I9" s="69">
        <v>2000</v>
      </c>
      <c r="J9" s="69">
        <v>2000</v>
      </c>
      <c r="K9" s="70">
        <v>1500</v>
      </c>
      <c r="L9" s="55">
        <v>1500</v>
      </c>
      <c r="M9" s="36">
        <v>500</v>
      </c>
      <c r="N9" s="36">
        <f>60000*0.18*0.25</f>
        <v>2700</v>
      </c>
      <c r="O9" s="36">
        <v>0</v>
      </c>
      <c r="P9" s="36">
        <v>0</v>
      </c>
      <c r="Q9" s="36">
        <v>0</v>
      </c>
      <c r="R9" s="36">
        <v>400</v>
      </c>
      <c r="S9" s="37">
        <v>400</v>
      </c>
      <c r="T9"/>
      <c r="U9"/>
      <c r="V9" s="44"/>
      <c r="W9"/>
      <c r="X9"/>
      <c r="Y9"/>
      <c r="Z9" s="6"/>
      <c r="AA9" s="5"/>
      <c r="AB9" s="6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ht="12.5" hidden="1" x14ac:dyDescent="0.25">
      <c r="A10" s="65" t="s">
        <v>8</v>
      </c>
      <c r="B10" s="66" t="s">
        <v>11</v>
      </c>
      <c r="C10" s="59">
        <v>0</v>
      </c>
      <c r="D10" s="59">
        <v>0</v>
      </c>
      <c r="E10" s="69">
        <v>0</v>
      </c>
      <c r="F10" s="69"/>
      <c r="G10" s="69">
        <v>0</v>
      </c>
      <c r="H10" s="69">
        <v>0</v>
      </c>
      <c r="I10" s="69">
        <v>0</v>
      </c>
      <c r="J10" s="69">
        <v>0</v>
      </c>
      <c r="K10" s="70">
        <v>0</v>
      </c>
      <c r="L10" s="55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7">
        <v>0</v>
      </c>
      <c r="T10"/>
      <c r="U10"/>
      <c r="V10" s="44"/>
      <c r="W10"/>
      <c r="X10"/>
      <c r="Y10"/>
      <c r="Z10" s="6"/>
      <c r="AA10" s="5">
        <v>429.85</v>
      </c>
      <c r="AB10" s="6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ht="12.5" hidden="1" x14ac:dyDescent="0.25">
      <c r="A11" s="65" t="s">
        <v>9</v>
      </c>
      <c r="B11" s="66" t="s">
        <v>12</v>
      </c>
      <c r="C11" s="59">
        <v>0</v>
      </c>
      <c r="D11" s="59">
        <v>0</v>
      </c>
      <c r="E11" s="69">
        <v>0</v>
      </c>
      <c r="F11" s="69"/>
      <c r="G11" s="69">
        <v>0</v>
      </c>
      <c r="H11" s="69">
        <v>0</v>
      </c>
      <c r="I11" s="69">
        <v>0</v>
      </c>
      <c r="J11" s="69">
        <v>0</v>
      </c>
      <c r="K11" s="70">
        <v>0</v>
      </c>
      <c r="L11" s="55">
        <v>0</v>
      </c>
      <c r="M11" s="36">
        <v>0</v>
      </c>
      <c r="N11" s="36">
        <v>0</v>
      </c>
      <c r="O11" s="36">
        <v>0</v>
      </c>
      <c r="P11" s="36">
        <v>300</v>
      </c>
      <c r="Q11" s="36">
        <v>0</v>
      </c>
      <c r="R11" s="36">
        <v>0</v>
      </c>
      <c r="S11" s="37">
        <v>0</v>
      </c>
      <c r="T11"/>
      <c r="U11"/>
      <c r="V11" s="44"/>
      <c r="W11"/>
      <c r="X11"/>
      <c r="Y11"/>
      <c r="Z11" s="6"/>
      <c r="AA11" s="5"/>
      <c r="AB11" s="6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ht="13" hidden="1" thickBot="1" x14ac:dyDescent="0.3">
      <c r="A12" s="65" t="s">
        <v>130</v>
      </c>
      <c r="B12" s="66" t="s">
        <v>131</v>
      </c>
      <c r="C12" s="59">
        <v>0</v>
      </c>
      <c r="D12" s="59">
        <v>0</v>
      </c>
      <c r="E12" s="69">
        <v>0</v>
      </c>
      <c r="F12" s="69"/>
      <c r="G12" s="69">
        <v>0</v>
      </c>
      <c r="H12" s="69">
        <v>0</v>
      </c>
      <c r="I12" s="69">
        <v>0</v>
      </c>
      <c r="J12" s="69">
        <v>0</v>
      </c>
      <c r="K12" s="70">
        <v>0</v>
      </c>
      <c r="L12" s="56">
        <v>0</v>
      </c>
      <c r="M12" s="41">
        <v>0</v>
      </c>
      <c r="N12" s="41">
        <v>0</v>
      </c>
      <c r="O12" s="41">
        <v>229754</v>
      </c>
      <c r="P12" s="41">
        <v>300</v>
      </c>
      <c r="Q12" s="41">
        <v>0</v>
      </c>
      <c r="R12" s="41">
        <v>0</v>
      </c>
      <c r="S12" s="42">
        <v>0</v>
      </c>
      <c r="T12"/>
      <c r="U12"/>
      <c r="V12" s="44"/>
      <c r="W12"/>
      <c r="X12"/>
      <c r="Y12"/>
      <c r="Z12" s="6"/>
      <c r="AA12" s="5">
        <v>-20.99</v>
      </c>
      <c r="AB12" s="6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ht="12.5" x14ac:dyDescent="0.25">
      <c r="A13" s="65"/>
      <c r="B13" s="66"/>
      <c r="C13" s="59"/>
      <c r="D13" s="59"/>
      <c r="E13" s="69"/>
      <c r="F13" s="69"/>
      <c r="G13" s="69"/>
      <c r="H13" s="69"/>
      <c r="I13" s="69"/>
      <c r="J13" s="69"/>
      <c r="K13" s="70"/>
      <c r="L13" s="15"/>
      <c r="M13" s="15"/>
      <c r="N13" s="15"/>
      <c r="O13" s="15"/>
      <c r="P13" s="15"/>
      <c r="Q13" s="15"/>
      <c r="R13" s="15"/>
      <c r="S13" s="15"/>
      <c r="T13"/>
      <c r="U13"/>
      <c r="V13" s="44"/>
      <c r="W13"/>
      <c r="X13"/>
      <c r="Y13"/>
      <c r="Z13" s="6"/>
      <c r="AA13" s="5">
        <v>20250</v>
      </c>
      <c r="AB13" s="6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ht="12.5" x14ac:dyDescent="0.25">
      <c r="A14" s="65"/>
      <c r="B14" s="66" t="s">
        <v>13</v>
      </c>
      <c r="C14" s="59">
        <f t="shared" ref="C14" si="0">SUM(C4:C13)</f>
        <v>175380</v>
      </c>
      <c r="D14" s="59">
        <f t="shared" ref="D14:E14" si="1">SUM(D4:D13)</f>
        <v>173220</v>
      </c>
      <c r="E14" s="69">
        <f t="shared" si="1"/>
        <v>177240</v>
      </c>
      <c r="F14" s="69">
        <f>SUM(F4:F9)</f>
        <v>182537</v>
      </c>
      <c r="G14" s="69">
        <f t="shared" ref="G14:H14" si="2">SUM(G4:G13)</f>
        <v>173220</v>
      </c>
      <c r="H14" s="69">
        <f t="shared" si="2"/>
        <v>166080</v>
      </c>
      <c r="I14" s="69">
        <f t="shared" ref="I14:J14" si="3">SUM(I4:I13)</f>
        <v>155440</v>
      </c>
      <c r="J14" s="69">
        <f t="shared" si="3"/>
        <v>155440</v>
      </c>
      <c r="K14" s="70">
        <f t="shared" ref="K14" si="4">SUM(K4:K13)</f>
        <v>153810</v>
      </c>
      <c r="L14" s="15">
        <f t="shared" ref="L14" si="5">SUM(L4:L13)</f>
        <v>150828</v>
      </c>
      <c r="M14" s="15">
        <f t="shared" ref="M14:S14" si="6">SUM(M4:M13)</f>
        <v>144860</v>
      </c>
      <c r="N14" s="15">
        <f t="shared" ref="N14" si="7">SUM(N4:N13)</f>
        <v>140964.29999999999</v>
      </c>
      <c r="O14" s="15">
        <f t="shared" si="6"/>
        <v>349099</v>
      </c>
      <c r="P14" s="15">
        <f t="shared" si="6"/>
        <v>102096.15</v>
      </c>
      <c r="Q14" s="15">
        <f t="shared" si="6"/>
        <v>95596</v>
      </c>
      <c r="R14" s="15">
        <f t="shared" si="6"/>
        <v>97080</v>
      </c>
      <c r="S14" s="15">
        <f t="shared" si="6"/>
        <v>88595</v>
      </c>
      <c r="T14"/>
      <c r="U14"/>
      <c r="V14" s="15"/>
      <c r="W14"/>
      <c r="X14"/>
      <c r="Y14"/>
      <c r="Z14" s="6"/>
      <c r="AA14" s="5">
        <v>1100</v>
      </c>
      <c r="AB14" s="6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ht="12.5" x14ac:dyDescent="0.25">
      <c r="A15" s="65"/>
      <c r="B15" s="66"/>
      <c r="C15" s="59"/>
      <c r="D15" s="59"/>
      <c r="E15" s="69"/>
      <c r="F15" s="69"/>
      <c r="G15" s="69"/>
      <c r="H15" s="69"/>
      <c r="I15" s="69"/>
      <c r="J15" s="69"/>
      <c r="K15" s="70"/>
      <c r="L15" s="15"/>
      <c r="M15" s="15"/>
      <c r="N15" s="15"/>
      <c r="O15" s="15"/>
      <c r="P15" s="15"/>
      <c r="Q15" s="15"/>
      <c r="R15" s="15"/>
      <c r="S15" s="15"/>
      <c r="T15"/>
      <c r="U15"/>
      <c r="V15" s="44"/>
      <c r="W15"/>
      <c r="X15"/>
      <c r="Y15"/>
      <c r="Z15" s="6"/>
      <c r="AA15" s="5">
        <v>732</v>
      </c>
      <c r="AB15" s="6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12.5" x14ac:dyDescent="0.25">
      <c r="A16" s="65" t="s">
        <v>14</v>
      </c>
      <c r="B16" s="66"/>
      <c r="C16" s="59"/>
      <c r="D16" s="59"/>
      <c r="E16" s="69"/>
      <c r="F16" s="69"/>
      <c r="G16" s="69"/>
      <c r="H16" s="69"/>
      <c r="I16" s="69"/>
      <c r="J16" s="69"/>
      <c r="K16" s="70"/>
      <c r="L16" s="15"/>
      <c r="M16" s="15"/>
      <c r="N16" s="15"/>
      <c r="O16" s="15"/>
      <c r="P16" s="15"/>
      <c r="Q16" s="15"/>
      <c r="R16" s="15"/>
      <c r="S16" s="15"/>
      <c r="T16"/>
      <c r="U16"/>
      <c r="V16" s="44"/>
      <c r="W16"/>
      <c r="X16"/>
      <c r="Y16"/>
      <c r="Z16" s="6"/>
      <c r="AA16" s="5">
        <v>1750</v>
      </c>
      <c r="AB16" s="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ht="12.5" x14ac:dyDescent="0.25">
      <c r="A17" s="65"/>
      <c r="B17" s="66"/>
      <c r="C17" s="59"/>
      <c r="D17" s="59"/>
      <c r="E17" s="69"/>
      <c r="F17" s="69"/>
      <c r="G17" s="69"/>
      <c r="H17" s="69"/>
      <c r="I17" s="69"/>
      <c r="J17" s="69"/>
      <c r="K17" s="70"/>
      <c r="L17" s="15"/>
      <c r="M17" s="15"/>
      <c r="N17" s="15"/>
      <c r="O17" s="15"/>
      <c r="P17" s="15"/>
      <c r="Q17" s="15"/>
      <c r="R17" s="15"/>
      <c r="S17" s="15"/>
      <c r="T17"/>
      <c r="U17"/>
      <c r="V17" s="44"/>
      <c r="W17"/>
      <c r="X17"/>
      <c r="Y17"/>
      <c r="Z17" s="6"/>
      <c r="AA17" s="5">
        <v>250</v>
      </c>
      <c r="AB17" s="6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ht="12.5" x14ac:dyDescent="0.25">
      <c r="A18" s="65" t="s">
        <v>15</v>
      </c>
      <c r="B18" s="66" t="s">
        <v>119</v>
      </c>
      <c r="C18" s="59">
        <v>600</v>
      </c>
      <c r="D18" s="59">
        <v>600</v>
      </c>
      <c r="E18" s="69">
        <v>600</v>
      </c>
      <c r="F18" s="69">
        <v>0</v>
      </c>
      <c r="G18" s="69">
        <v>600</v>
      </c>
      <c r="H18" s="69">
        <v>600</v>
      </c>
      <c r="I18" s="69">
        <v>1000</v>
      </c>
      <c r="J18" s="69">
        <v>1000</v>
      </c>
      <c r="K18" s="70">
        <v>500</v>
      </c>
      <c r="L18" s="54">
        <v>500</v>
      </c>
      <c r="M18" s="34">
        <v>500</v>
      </c>
      <c r="N18" s="34">
        <v>500</v>
      </c>
      <c r="O18" s="34">
        <v>0</v>
      </c>
      <c r="P18" s="34">
        <v>0</v>
      </c>
      <c r="Q18" s="34">
        <v>0</v>
      </c>
      <c r="R18" s="34">
        <v>300</v>
      </c>
      <c r="S18" s="35">
        <v>250</v>
      </c>
      <c r="T18"/>
      <c r="U18"/>
      <c r="V18" s="44"/>
      <c r="W18"/>
      <c r="X18"/>
      <c r="Y18"/>
      <c r="Z18" s="6"/>
      <c r="AA18" s="5">
        <v>150</v>
      </c>
      <c r="AB18" s="6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ht="12.5" x14ac:dyDescent="0.25">
      <c r="A19" s="65" t="s">
        <v>16</v>
      </c>
      <c r="B19" s="66" t="s">
        <v>22</v>
      </c>
      <c r="C19" s="59">
        <v>500</v>
      </c>
      <c r="D19" s="59">
        <v>200</v>
      </c>
      <c r="E19" s="69">
        <v>0</v>
      </c>
      <c r="F19" s="69">
        <v>200</v>
      </c>
      <c r="G19" s="69">
        <v>150</v>
      </c>
      <c r="H19" s="69">
        <v>150</v>
      </c>
      <c r="I19" s="69">
        <v>250</v>
      </c>
      <c r="J19" s="69">
        <v>250</v>
      </c>
      <c r="K19" s="70">
        <v>0</v>
      </c>
      <c r="L19" s="55">
        <v>0</v>
      </c>
      <c r="M19" s="36">
        <v>0</v>
      </c>
      <c r="N19" s="36">
        <v>0</v>
      </c>
      <c r="O19" s="36">
        <v>200</v>
      </c>
      <c r="P19" s="36">
        <v>575</v>
      </c>
      <c r="Q19" s="36">
        <v>575</v>
      </c>
      <c r="R19" s="36">
        <v>575</v>
      </c>
      <c r="S19" s="37">
        <v>550</v>
      </c>
      <c r="T19"/>
      <c r="U19"/>
      <c r="V19" s="44"/>
      <c r="W19"/>
      <c r="X19"/>
      <c r="Y19"/>
      <c r="Z19" s="6"/>
      <c r="AA19" s="5">
        <v>25</v>
      </c>
      <c r="AB19" s="6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ht="13" thickBot="1" x14ac:dyDescent="0.3">
      <c r="A20" s="65" t="s">
        <v>17</v>
      </c>
      <c r="B20" s="66" t="s">
        <v>23</v>
      </c>
      <c r="C20" s="59">
        <v>787</v>
      </c>
      <c r="D20" s="59">
        <v>787</v>
      </c>
      <c r="E20" s="69">
        <v>787</v>
      </c>
      <c r="F20" s="69">
        <v>0</v>
      </c>
      <c r="G20" s="69">
        <v>787</v>
      </c>
      <c r="H20" s="69">
        <v>787</v>
      </c>
      <c r="I20" s="69">
        <v>737</v>
      </c>
      <c r="J20" s="69">
        <v>737</v>
      </c>
      <c r="K20" s="70">
        <v>737</v>
      </c>
      <c r="L20" s="55">
        <v>737</v>
      </c>
      <c r="M20" s="36">
        <v>500</v>
      </c>
      <c r="N20" s="36">
        <v>676.88</v>
      </c>
      <c r="O20" s="36">
        <v>900</v>
      </c>
      <c r="P20" s="36">
        <v>900</v>
      </c>
      <c r="Q20" s="36">
        <v>1200</v>
      </c>
      <c r="R20" s="36">
        <v>6700</v>
      </c>
      <c r="S20" s="37">
        <v>8000</v>
      </c>
      <c r="T20"/>
      <c r="U20"/>
      <c r="V20" s="44"/>
      <c r="W20"/>
      <c r="X20"/>
      <c r="Y20"/>
      <c r="Z20" s="6"/>
      <c r="AA20" s="9">
        <v>6100</v>
      </c>
      <c r="AB20" s="6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13" thickBot="1" x14ac:dyDescent="0.3">
      <c r="A21" s="65" t="s">
        <v>18</v>
      </c>
      <c r="B21" s="66" t="s">
        <v>205</v>
      </c>
      <c r="C21" s="59">
        <f>60*480</f>
        <v>28800</v>
      </c>
      <c r="D21" s="59">
        <f>30*475</f>
        <v>14250</v>
      </c>
      <c r="E21" s="69">
        <f>40*475</f>
        <v>19000</v>
      </c>
      <c r="F21" s="69">
        <v>1200</v>
      </c>
      <c r="G21" s="69">
        <f>40*475</f>
        <v>19000</v>
      </c>
      <c r="H21" s="69">
        <f>32*475</f>
        <v>15200</v>
      </c>
      <c r="I21" s="69">
        <f>30*450</f>
        <v>13500</v>
      </c>
      <c r="J21" s="69">
        <f>30*450</f>
        <v>13500</v>
      </c>
      <c r="K21" s="70">
        <f>25*450</f>
        <v>11250</v>
      </c>
      <c r="L21" s="55">
        <f>30*400</f>
        <v>12000</v>
      </c>
      <c r="M21" s="36">
        <f>35*400</f>
        <v>14000</v>
      </c>
      <c r="N21" s="36">
        <f>35*400</f>
        <v>14000</v>
      </c>
      <c r="O21" s="36">
        <v>18000</v>
      </c>
      <c r="P21" s="36">
        <v>19000</v>
      </c>
      <c r="Q21" s="36">
        <v>19000</v>
      </c>
      <c r="R21" s="36">
        <v>16100</v>
      </c>
      <c r="S21" s="37">
        <v>17500</v>
      </c>
      <c r="T21"/>
      <c r="U21"/>
      <c r="V21" s="44"/>
      <c r="W21"/>
      <c r="X21"/>
      <c r="Y21"/>
      <c r="Z21" s="6"/>
      <c r="AA21" s="10">
        <f>SUM(AA10:AA20)</f>
        <v>30765.86</v>
      </c>
      <c r="AB21" s="6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ht="12.5" x14ac:dyDescent="0.25">
      <c r="A22" s="65" t="s">
        <v>19</v>
      </c>
      <c r="B22" s="66" t="s">
        <v>24</v>
      </c>
      <c r="C22" s="59">
        <v>200</v>
      </c>
      <c r="D22" s="59">
        <v>100</v>
      </c>
      <c r="E22" s="69">
        <v>100</v>
      </c>
      <c r="F22" s="69">
        <v>0</v>
      </c>
      <c r="G22" s="69">
        <v>100</v>
      </c>
      <c r="H22" s="69">
        <v>100</v>
      </c>
      <c r="I22" s="69">
        <v>100</v>
      </c>
      <c r="J22" s="69">
        <v>100</v>
      </c>
      <c r="K22" s="70">
        <v>200</v>
      </c>
      <c r="L22" s="55">
        <v>200</v>
      </c>
      <c r="M22" s="36">
        <v>100</v>
      </c>
      <c r="N22" s="36">
        <v>126</v>
      </c>
      <c r="O22" s="36">
        <v>100</v>
      </c>
      <c r="P22" s="36">
        <v>200</v>
      </c>
      <c r="Q22" s="36">
        <v>400</v>
      </c>
      <c r="R22" s="36">
        <v>200</v>
      </c>
      <c r="S22" s="37">
        <v>500</v>
      </c>
      <c r="T22"/>
      <c r="U22"/>
      <c r="V22" s="44"/>
      <c r="W22"/>
      <c r="X22"/>
      <c r="Y22"/>
      <c r="Z22" s="6"/>
      <c r="AA22" s="5">
        <v>8043.75</v>
      </c>
      <c r="AB22" s="6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ht="12.5" x14ac:dyDescent="0.25">
      <c r="A23" s="65" t="s">
        <v>20</v>
      </c>
      <c r="B23" s="71" t="s">
        <v>25</v>
      </c>
      <c r="C23" s="59">
        <v>1350</v>
      </c>
      <c r="D23" s="59">
        <v>1500</v>
      </c>
      <c r="E23" s="69">
        <v>1500</v>
      </c>
      <c r="F23" s="69">
        <v>0</v>
      </c>
      <c r="G23" s="69">
        <v>1500</v>
      </c>
      <c r="H23" s="69">
        <v>1500</v>
      </c>
      <c r="I23" s="69">
        <v>1500</v>
      </c>
      <c r="J23" s="69">
        <v>1500</v>
      </c>
      <c r="K23" s="70">
        <v>1200</v>
      </c>
      <c r="L23" s="55">
        <v>1000</v>
      </c>
      <c r="M23" s="36">
        <v>750</v>
      </c>
      <c r="N23" s="36">
        <v>1000</v>
      </c>
      <c r="O23" s="36">
        <v>2000</v>
      </c>
      <c r="P23" s="36">
        <v>2500</v>
      </c>
      <c r="Q23" s="36">
        <v>1875</v>
      </c>
      <c r="R23" s="36">
        <v>1500</v>
      </c>
      <c r="S23" s="37">
        <v>1500</v>
      </c>
      <c r="T23"/>
      <c r="U23"/>
      <c r="V23" s="44"/>
      <c r="W23"/>
      <c r="X23"/>
      <c r="Y23"/>
      <c r="Z23" s="6"/>
      <c r="AA23" s="7">
        <f>SUM(AA8,AA21,AA22)</f>
        <v>122311.12000000001</v>
      </c>
      <c r="AB23" s="6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13" thickBot="1" x14ac:dyDescent="0.3">
      <c r="A24" s="65" t="s">
        <v>21</v>
      </c>
      <c r="B24" s="71" t="s">
        <v>26</v>
      </c>
      <c r="C24" s="59">
        <v>7500</v>
      </c>
      <c r="D24" s="59">
        <v>4500</v>
      </c>
      <c r="E24" s="69">
        <v>4500</v>
      </c>
      <c r="F24" s="69">
        <v>0</v>
      </c>
      <c r="G24" s="69">
        <v>4500</v>
      </c>
      <c r="H24" s="69">
        <v>4500</v>
      </c>
      <c r="I24" s="69">
        <v>3000</v>
      </c>
      <c r="J24" s="69">
        <v>3000</v>
      </c>
      <c r="K24" s="70">
        <v>3785</v>
      </c>
      <c r="L24" s="56">
        <v>3560</v>
      </c>
      <c r="M24" s="38">
        <v>4340</v>
      </c>
      <c r="N24" s="38">
        <v>4340</v>
      </c>
      <c r="O24" s="38">
        <v>5000</v>
      </c>
      <c r="P24" s="38">
        <v>5000</v>
      </c>
      <c r="Q24" s="38">
        <v>5800</v>
      </c>
      <c r="R24" s="38">
        <v>5800</v>
      </c>
      <c r="S24" s="39">
        <v>6100</v>
      </c>
      <c r="T24"/>
      <c r="U24"/>
      <c r="V24" s="44"/>
      <c r="W24"/>
      <c r="X24"/>
      <c r="Y24"/>
      <c r="Z24" s="6"/>
      <c r="AA24" s="5"/>
      <c r="AB24" s="6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ht="13" thickTop="1" x14ac:dyDescent="0.25">
      <c r="A25" s="65" t="s">
        <v>169</v>
      </c>
      <c r="B25" s="71" t="s">
        <v>174</v>
      </c>
      <c r="C25" s="59">
        <v>4000</v>
      </c>
      <c r="D25" s="59">
        <v>1500</v>
      </c>
      <c r="E25" s="59">
        <v>5000</v>
      </c>
      <c r="F25" s="59">
        <v>0</v>
      </c>
      <c r="G25" s="69"/>
      <c r="H25" s="69"/>
      <c r="I25" s="69"/>
      <c r="J25" s="69"/>
      <c r="K25" s="70"/>
      <c r="L25" s="15"/>
      <c r="M25" s="15"/>
      <c r="N25" s="15"/>
      <c r="O25" s="15"/>
      <c r="P25" s="15"/>
      <c r="Q25" s="15"/>
      <c r="R25" s="15"/>
      <c r="S25" s="15"/>
      <c r="T25"/>
      <c r="U25"/>
      <c r="V25" s="44"/>
      <c r="W25"/>
      <c r="X25"/>
      <c r="Y25"/>
      <c r="Z25" s="6"/>
      <c r="AA25" s="5"/>
      <c r="AB25" s="6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ht="12.5" x14ac:dyDescent="0.25">
      <c r="A26" s="65" t="s">
        <v>175</v>
      </c>
      <c r="B26" s="71" t="s">
        <v>176</v>
      </c>
      <c r="C26" s="59">
        <v>1500</v>
      </c>
      <c r="D26" s="59">
        <v>2500</v>
      </c>
      <c r="E26" s="69">
        <v>0</v>
      </c>
      <c r="F26" s="69">
        <v>0</v>
      </c>
      <c r="G26" s="69"/>
      <c r="H26" s="69"/>
      <c r="I26" s="69"/>
      <c r="J26" s="69"/>
      <c r="K26" s="70"/>
      <c r="L26" s="15"/>
      <c r="M26" s="15"/>
      <c r="N26" s="15"/>
      <c r="O26" s="15"/>
      <c r="P26" s="15"/>
      <c r="Q26" s="15"/>
      <c r="R26" s="15"/>
      <c r="S26" s="15"/>
      <c r="T26"/>
      <c r="U26"/>
      <c r="V26" s="44"/>
      <c r="W26"/>
      <c r="X26"/>
      <c r="Y26"/>
      <c r="Z26" s="6"/>
      <c r="AA26" s="5"/>
      <c r="AB26" s="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ht="13" thickBot="1" x14ac:dyDescent="0.3">
      <c r="A27" s="65"/>
      <c r="B27" s="66" t="s">
        <v>27</v>
      </c>
      <c r="C27" s="59">
        <f>SUM(C18:C26)</f>
        <v>45237</v>
      </c>
      <c r="D27" s="59">
        <f>SUM(D18:D26)</f>
        <v>25937</v>
      </c>
      <c r="E27" s="69">
        <f>SUM(E18:E26)</f>
        <v>31487</v>
      </c>
      <c r="F27" s="69">
        <f>SUM(F18:F26)</f>
        <v>1400</v>
      </c>
      <c r="G27" s="69">
        <f t="shared" ref="G27:S27" si="8">SUM(G18:G24)</f>
        <v>26637</v>
      </c>
      <c r="H27" s="69">
        <f t="shared" si="8"/>
        <v>22837</v>
      </c>
      <c r="I27" s="69">
        <f t="shared" si="8"/>
        <v>20087</v>
      </c>
      <c r="J27" s="69">
        <f t="shared" si="8"/>
        <v>20087</v>
      </c>
      <c r="K27" s="70">
        <f t="shared" si="8"/>
        <v>17672</v>
      </c>
      <c r="L27" s="15">
        <f t="shared" si="8"/>
        <v>17997</v>
      </c>
      <c r="M27" s="40">
        <f t="shared" si="8"/>
        <v>20190</v>
      </c>
      <c r="N27" s="40">
        <f t="shared" si="8"/>
        <v>20642.88</v>
      </c>
      <c r="O27" s="40">
        <f t="shared" si="8"/>
        <v>26200</v>
      </c>
      <c r="P27" s="40">
        <f t="shared" si="8"/>
        <v>28175</v>
      </c>
      <c r="Q27" s="40">
        <f t="shared" si="8"/>
        <v>28850</v>
      </c>
      <c r="R27" s="40">
        <f t="shared" si="8"/>
        <v>31175</v>
      </c>
      <c r="S27" s="40">
        <f t="shared" si="8"/>
        <v>34400</v>
      </c>
      <c r="T27"/>
      <c r="U27"/>
      <c r="V27" s="44"/>
      <c r="W27"/>
      <c r="X27"/>
      <c r="Y27"/>
      <c r="Z27" s="6"/>
      <c r="AA27" s="5"/>
      <c r="AB27" s="6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ht="13" thickTop="1" x14ac:dyDescent="0.25">
      <c r="A28" s="65"/>
      <c r="B28" s="66"/>
      <c r="C28" s="59"/>
      <c r="D28" s="59"/>
      <c r="E28" s="69"/>
      <c r="F28" s="69"/>
      <c r="G28" s="69"/>
      <c r="H28" s="69"/>
      <c r="I28" s="69"/>
      <c r="J28" s="69"/>
      <c r="K28" s="70"/>
      <c r="L28" s="15"/>
      <c r="M28" s="15"/>
      <c r="N28" s="15"/>
      <c r="O28" s="15"/>
      <c r="P28" s="15"/>
      <c r="Q28" s="15"/>
      <c r="R28" s="15"/>
      <c r="S28" s="15"/>
      <c r="T28"/>
      <c r="U28"/>
      <c r="V28" s="44"/>
      <c r="W28"/>
      <c r="X28"/>
      <c r="Y28"/>
      <c r="Z28" s="6"/>
      <c r="AA28" s="5"/>
      <c r="AB28" s="6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ht="12.5" x14ac:dyDescent="0.25">
      <c r="A29" s="65"/>
      <c r="B29" s="66" t="s">
        <v>1</v>
      </c>
      <c r="C29" s="59">
        <f t="shared" ref="C29" si="9">SUM(C27,C14)</f>
        <v>220617</v>
      </c>
      <c r="D29" s="59">
        <f t="shared" ref="D29:E29" si="10">SUM(D27,D14)</f>
        <v>199157</v>
      </c>
      <c r="E29" s="69">
        <f t="shared" si="10"/>
        <v>208727</v>
      </c>
      <c r="F29" s="69">
        <f>SUM(F27,F14)</f>
        <v>183937</v>
      </c>
      <c r="G29" s="69">
        <f t="shared" ref="G29:S29" si="11">SUM(G27,G14)</f>
        <v>199857</v>
      </c>
      <c r="H29" s="69">
        <f t="shared" si="11"/>
        <v>188917</v>
      </c>
      <c r="I29" s="69">
        <f t="shared" si="11"/>
        <v>175527</v>
      </c>
      <c r="J29" s="69">
        <f t="shared" si="11"/>
        <v>175527</v>
      </c>
      <c r="K29" s="70">
        <f t="shared" si="11"/>
        <v>171482</v>
      </c>
      <c r="L29" s="15">
        <f t="shared" si="11"/>
        <v>168825</v>
      </c>
      <c r="M29" s="15">
        <f t="shared" si="11"/>
        <v>165050</v>
      </c>
      <c r="N29" s="15">
        <f t="shared" si="11"/>
        <v>161607.18</v>
      </c>
      <c r="O29" s="15">
        <f t="shared" si="11"/>
        <v>375299</v>
      </c>
      <c r="P29" s="15">
        <f t="shared" si="11"/>
        <v>130271.15</v>
      </c>
      <c r="Q29" s="15">
        <f t="shared" si="11"/>
        <v>124446</v>
      </c>
      <c r="R29" s="15">
        <f t="shared" si="11"/>
        <v>128255</v>
      </c>
      <c r="S29" s="15">
        <f t="shared" si="11"/>
        <v>122995</v>
      </c>
      <c r="T29"/>
      <c r="U29"/>
      <c r="V29" s="44"/>
      <c r="W29"/>
      <c r="X29"/>
      <c r="Y29"/>
      <c r="Z29" s="6"/>
      <c r="AA29" s="5">
        <v>833.4</v>
      </c>
      <c r="AB29" s="6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ht="12.5" x14ac:dyDescent="0.25">
      <c r="A30" s="65"/>
      <c r="B30" s="66"/>
      <c r="C30" s="59"/>
      <c r="D30" s="59"/>
      <c r="E30" s="69"/>
      <c r="F30" s="69"/>
      <c r="G30" s="69"/>
      <c r="H30" s="69"/>
      <c r="I30" s="69"/>
      <c r="J30" s="69"/>
      <c r="K30" s="70"/>
      <c r="L30" s="15"/>
      <c r="M30" s="15"/>
      <c r="N30" s="15"/>
      <c r="O30" s="15"/>
      <c r="P30" s="15"/>
      <c r="Q30" s="15"/>
      <c r="R30" s="15"/>
      <c r="S30" s="15"/>
      <c r="T30"/>
      <c r="U30"/>
      <c r="V30" s="44"/>
      <c r="W30"/>
      <c r="X30"/>
      <c r="Y30"/>
      <c r="Z30" s="6"/>
      <c r="AA30" s="5">
        <v>833.4</v>
      </c>
      <c r="AB30" s="6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ht="12.5" x14ac:dyDescent="0.25">
      <c r="A31" s="65"/>
      <c r="B31" s="66"/>
      <c r="C31" s="59"/>
      <c r="D31" s="59"/>
      <c r="E31" s="69"/>
      <c r="F31" s="69"/>
      <c r="G31" s="69"/>
      <c r="H31" s="69"/>
      <c r="I31" s="69"/>
      <c r="J31" s="69"/>
      <c r="K31" s="70"/>
      <c r="L31" s="15"/>
      <c r="M31" s="15"/>
      <c r="N31" s="15"/>
      <c r="O31" s="15"/>
      <c r="P31" s="15"/>
      <c r="Q31" s="15"/>
      <c r="R31" s="15"/>
      <c r="S31" s="15"/>
      <c r="T31"/>
      <c r="U31"/>
      <c r="V31" s="44"/>
      <c r="W31"/>
      <c r="X31"/>
      <c r="Y31"/>
      <c r="Z31" s="6"/>
      <c r="AA31" s="5"/>
      <c r="AB31" s="6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ht="12.5" x14ac:dyDescent="0.25">
      <c r="A32" s="65" t="s">
        <v>28</v>
      </c>
      <c r="B32" s="66"/>
      <c r="C32" s="59"/>
      <c r="D32" s="59"/>
      <c r="E32" s="69"/>
      <c r="F32" s="69"/>
      <c r="G32" s="69"/>
      <c r="H32" s="69"/>
      <c r="I32" s="69"/>
      <c r="J32" s="69"/>
      <c r="K32" s="70"/>
      <c r="L32" s="15"/>
      <c r="M32" s="15"/>
      <c r="N32" s="15"/>
      <c r="O32" s="15"/>
      <c r="P32" s="15"/>
      <c r="Q32" s="15"/>
      <c r="R32" s="15"/>
      <c r="S32" s="15"/>
      <c r="T32"/>
      <c r="U32"/>
      <c r="V32" s="44"/>
      <c r="W32"/>
      <c r="X32"/>
      <c r="Y32"/>
      <c r="Z32" s="6"/>
      <c r="AA32" s="5">
        <v>751.45</v>
      </c>
      <c r="AB32" s="6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ht="12.5" x14ac:dyDescent="0.25">
      <c r="A33" s="65"/>
      <c r="B33" s="66"/>
      <c r="C33" s="59"/>
      <c r="D33" s="59"/>
      <c r="E33" s="69"/>
      <c r="F33" s="69"/>
      <c r="G33" s="69"/>
      <c r="H33" s="69"/>
      <c r="I33" s="69"/>
      <c r="J33" s="69"/>
      <c r="K33" s="70"/>
      <c r="L33" s="15"/>
      <c r="M33" s="15"/>
      <c r="N33" s="15"/>
      <c r="O33" s="15"/>
      <c r="P33" s="15"/>
      <c r="Q33" s="15"/>
      <c r="R33" s="15"/>
      <c r="S33" s="15"/>
      <c r="T33"/>
      <c r="U33"/>
      <c r="V33" s="44"/>
      <c r="W33"/>
      <c r="X33"/>
      <c r="Y33"/>
      <c r="Z33" s="6"/>
      <c r="AA33" s="5">
        <v>1276.8599999999999</v>
      </c>
      <c r="AB33" s="6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ht="12.5" x14ac:dyDescent="0.25">
      <c r="A34" s="65" t="s">
        <v>29</v>
      </c>
      <c r="B34" s="66"/>
      <c r="C34" s="59"/>
      <c r="D34" s="59"/>
      <c r="E34" s="69"/>
      <c r="F34" s="69"/>
      <c r="G34" s="69"/>
      <c r="H34" s="69"/>
      <c r="I34" s="69"/>
      <c r="J34" s="69"/>
      <c r="K34" s="70"/>
      <c r="L34" s="15"/>
      <c r="M34" s="15"/>
      <c r="N34" s="15"/>
      <c r="O34" s="15"/>
      <c r="P34" s="15"/>
      <c r="Q34" s="15"/>
      <c r="R34" s="15"/>
      <c r="S34" s="15"/>
      <c r="T34"/>
      <c r="U34"/>
      <c r="V34" s="44"/>
      <c r="W34"/>
      <c r="X34"/>
      <c r="Y34"/>
      <c r="Z34" s="6"/>
      <c r="AA34" s="5">
        <v>314.51</v>
      </c>
      <c r="AB34" s="6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ht="13" thickBot="1" x14ac:dyDescent="0.3">
      <c r="A35" s="65"/>
      <c r="B35" s="66"/>
      <c r="C35" s="59"/>
      <c r="D35" s="59"/>
      <c r="E35" s="69"/>
      <c r="F35" s="69"/>
      <c r="G35" s="69"/>
      <c r="H35" s="69"/>
      <c r="I35" s="69"/>
      <c r="J35" s="69"/>
      <c r="K35" s="70"/>
      <c r="L35" s="15"/>
      <c r="M35" s="15"/>
      <c r="N35" s="15"/>
      <c r="O35" s="15"/>
      <c r="P35" s="15"/>
      <c r="Q35" s="15"/>
      <c r="R35" s="15"/>
      <c r="S35" s="15"/>
      <c r="T35"/>
      <c r="U35"/>
      <c r="V35" s="44"/>
      <c r="W35"/>
      <c r="X35"/>
      <c r="Y35"/>
      <c r="Z35" s="6"/>
      <c r="AA35" s="9">
        <v>3007.3</v>
      </c>
      <c r="AB35" s="6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ht="12.5" x14ac:dyDescent="0.25">
      <c r="A36" s="65" t="s">
        <v>30</v>
      </c>
      <c r="B36" s="66" t="s">
        <v>44</v>
      </c>
      <c r="C36" s="59">
        <v>9000</v>
      </c>
      <c r="D36" s="59">
        <v>9000</v>
      </c>
      <c r="E36" s="69">
        <v>9600</v>
      </c>
      <c r="F36" s="69">
        <v>5370</v>
      </c>
      <c r="G36" s="69">
        <v>9600</v>
      </c>
      <c r="H36" s="69">
        <v>9600</v>
      </c>
      <c r="I36" s="69">
        <v>8400</v>
      </c>
      <c r="J36" s="69">
        <v>8100</v>
      </c>
      <c r="K36" s="70">
        <v>8200</v>
      </c>
      <c r="L36" s="54">
        <v>8400</v>
      </c>
      <c r="M36" s="34">
        <v>8340</v>
      </c>
      <c r="N36" s="34">
        <v>7821</v>
      </c>
      <c r="O36" s="34">
        <v>8000</v>
      </c>
      <c r="P36" s="34">
        <v>8000</v>
      </c>
      <c r="Q36" s="34">
        <v>8000</v>
      </c>
      <c r="R36" s="34">
        <v>7500</v>
      </c>
      <c r="S36" s="35">
        <v>5500</v>
      </c>
      <c r="T36"/>
      <c r="U36"/>
      <c r="V36" s="44"/>
      <c r="W36"/>
      <c r="X36"/>
      <c r="Y36"/>
      <c r="Z36" s="6"/>
      <c r="AA36" s="7">
        <f>SUM(AA32:AA35)</f>
        <v>5350.12</v>
      </c>
      <c r="AB36" s="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2.5" x14ac:dyDescent="0.25">
      <c r="A37" s="65" t="s">
        <v>31</v>
      </c>
      <c r="B37" s="66" t="s">
        <v>45</v>
      </c>
      <c r="C37" s="59">
        <v>1500</v>
      </c>
      <c r="D37" s="59">
        <v>2700</v>
      </c>
      <c r="E37" s="69">
        <v>2500</v>
      </c>
      <c r="F37" s="69">
        <v>2772</v>
      </c>
      <c r="G37" s="69">
        <v>2200</v>
      </c>
      <c r="H37" s="69">
        <v>2200</v>
      </c>
      <c r="I37" s="69">
        <v>1450</v>
      </c>
      <c r="J37" s="69">
        <v>1300</v>
      </c>
      <c r="K37" s="70">
        <v>1900</v>
      </c>
      <c r="L37" s="55">
        <v>2200</v>
      </c>
      <c r="M37" s="36">
        <v>1800</v>
      </c>
      <c r="N37" s="36">
        <v>1215</v>
      </c>
      <c r="O37" s="36">
        <v>1500</v>
      </c>
      <c r="P37" s="36">
        <v>1200</v>
      </c>
      <c r="Q37" s="36">
        <v>800</v>
      </c>
      <c r="R37" s="36">
        <v>1200</v>
      </c>
      <c r="S37" s="37">
        <v>1850</v>
      </c>
      <c r="T37"/>
      <c r="U37"/>
      <c r="V37" s="44"/>
      <c r="W37"/>
      <c r="X37"/>
      <c r="Y37"/>
      <c r="Z37" s="6"/>
      <c r="AA37" s="8">
        <v>515.54</v>
      </c>
      <c r="AB37" s="6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2.5" x14ac:dyDescent="0.25">
      <c r="A38" s="65" t="s">
        <v>32</v>
      </c>
      <c r="B38" s="66" t="s">
        <v>46</v>
      </c>
      <c r="C38" s="59">
        <v>450</v>
      </c>
      <c r="D38" s="59">
        <v>300</v>
      </c>
      <c r="E38" s="69">
        <v>300</v>
      </c>
      <c r="F38" s="69">
        <v>0</v>
      </c>
      <c r="G38" s="69">
        <v>300</v>
      </c>
      <c r="H38" s="69">
        <v>300</v>
      </c>
      <c r="I38" s="69">
        <v>1050</v>
      </c>
      <c r="J38" s="69">
        <v>900</v>
      </c>
      <c r="K38" s="70">
        <v>1200</v>
      </c>
      <c r="L38" s="55">
        <v>800</v>
      </c>
      <c r="M38" s="36">
        <v>800</v>
      </c>
      <c r="N38" s="36">
        <v>878</v>
      </c>
      <c r="O38" s="36">
        <v>650</v>
      </c>
      <c r="P38" s="36">
        <v>600</v>
      </c>
      <c r="Q38" s="36">
        <v>500</v>
      </c>
      <c r="R38" s="36">
        <v>500</v>
      </c>
      <c r="S38" s="37">
        <v>500</v>
      </c>
      <c r="T38"/>
      <c r="U38"/>
      <c r="V38" s="44"/>
      <c r="W38"/>
      <c r="X38"/>
      <c r="Y38"/>
      <c r="Z38" s="6"/>
      <c r="AA38" s="5">
        <v>474.2</v>
      </c>
      <c r="AB38" s="6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2.5" hidden="1" x14ac:dyDescent="0.25">
      <c r="A39" s="65" t="s">
        <v>33</v>
      </c>
      <c r="B39" s="66" t="s">
        <v>47</v>
      </c>
      <c r="C39" s="59">
        <v>0</v>
      </c>
      <c r="D39" s="59">
        <v>0</v>
      </c>
      <c r="E39" s="69">
        <v>0</v>
      </c>
      <c r="F39" s="69"/>
      <c r="G39" s="69">
        <v>0</v>
      </c>
      <c r="H39" s="69">
        <v>0</v>
      </c>
      <c r="I39" s="69">
        <v>0</v>
      </c>
      <c r="J39" s="69">
        <v>0</v>
      </c>
      <c r="K39" s="70">
        <v>0</v>
      </c>
      <c r="L39" s="55">
        <v>0</v>
      </c>
      <c r="M39" s="36">
        <v>44</v>
      </c>
      <c r="N39" s="36">
        <v>0</v>
      </c>
      <c r="O39" s="36">
        <v>0</v>
      </c>
      <c r="P39" s="36">
        <v>0</v>
      </c>
      <c r="Q39" s="36">
        <v>120</v>
      </c>
      <c r="R39" s="36">
        <v>120</v>
      </c>
      <c r="S39" s="37">
        <v>0</v>
      </c>
      <c r="T39"/>
      <c r="U39"/>
      <c r="V39" s="44"/>
      <c r="W39"/>
      <c r="X39"/>
      <c r="Y39"/>
      <c r="Z39" s="6"/>
      <c r="AA39" s="5">
        <v>133.02000000000001</v>
      </c>
      <c r="AB39" s="6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2.5" x14ac:dyDescent="0.25">
      <c r="A40" s="65" t="s">
        <v>34</v>
      </c>
      <c r="B40" s="66" t="s">
        <v>48</v>
      </c>
      <c r="C40" s="59">
        <v>3100</v>
      </c>
      <c r="D40" s="59">
        <v>1250</v>
      </c>
      <c r="E40" s="69">
        <v>1250</v>
      </c>
      <c r="F40" s="69">
        <v>1854</v>
      </c>
      <c r="G40" s="69">
        <v>1200</v>
      </c>
      <c r="H40" s="69">
        <v>1200</v>
      </c>
      <c r="I40" s="69">
        <v>1350</v>
      </c>
      <c r="J40" s="69">
        <v>1350</v>
      </c>
      <c r="K40" s="70">
        <v>1300</v>
      </c>
      <c r="L40" s="55">
        <v>1300</v>
      </c>
      <c r="M40" s="36">
        <v>1400</v>
      </c>
      <c r="N40" s="36">
        <v>1100</v>
      </c>
      <c r="O40" s="36">
        <v>1050</v>
      </c>
      <c r="P40" s="36">
        <v>1000</v>
      </c>
      <c r="Q40" s="36">
        <v>1200</v>
      </c>
      <c r="R40" s="36">
        <v>300</v>
      </c>
      <c r="S40" s="37">
        <v>600</v>
      </c>
      <c r="T40"/>
      <c r="U40"/>
      <c r="V40" s="44"/>
      <c r="W40"/>
      <c r="X40"/>
      <c r="Y40"/>
      <c r="Z40" s="6"/>
      <c r="AA40" s="5">
        <v>592.67999999999995</v>
      </c>
      <c r="AB40" s="6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2.5" hidden="1" x14ac:dyDescent="0.25">
      <c r="A41" s="65" t="s">
        <v>121</v>
      </c>
      <c r="B41" s="66" t="s">
        <v>123</v>
      </c>
      <c r="C41" s="59">
        <v>0</v>
      </c>
      <c r="D41" s="59">
        <v>0</v>
      </c>
      <c r="E41" s="69">
        <v>0</v>
      </c>
      <c r="F41" s="69"/>
      <c r="G41" s="69">
        <v>0</v>
      </c>
      <c r="H41" s="69">
        <v>0</v>
      </c>
      <c r="I41" s="69">
        <v>0</v>
      </c>
      <c r="J41" s="69">
        <v>0</v>
      </c>
      <c r="K41" s="70">
        <v>0</v>
      </c>
      <c r="L41" s="55">
        <v>0</v>
      </c>
      <c r="M41" s="36">
        <v>0</v>
      </c>
      <c r="N41" s="36">
        <v>0</v>
      </c>
      <c r="O41" s="36">
        <v>0</v>
      </c>
      <c r="P41" s="36">
        <v>0</v>
      </c>
      <c r="Q41" s="36"/>
      <c r="R41" s="36"/>
      <c r="S41" s="37"/>
      <c r="T41"/>
      <c r="U41"/>
      <c r="V41" s="44"/>
      <c r="W41"/>
      <c r="X41"/>
      <c r="Y41"/>
      <c r="Z41" s="6"/>
      <c r="AA41" s="5"/>
      <c r="AB41" s="6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2.5" hidden="1" x14ac:dyDescent="0.25">
      <c r="A42" s="65" t="s">
        <v>122</v>
      </c>
      <c r="B42" s="66" t="s">
        <v>124</v>
      </c>
      <c r="C42" s="59">
        <v>0</v>
      </c>
      <c r="D42" s="59">
        <v>0</v>
      </c>
      <c r="E42" s="69">
        <v>0</v>
      </c>
      <c r="F42" s="69"/>
      <c r="G42" s="69">
        <v>0</v>
      </c>
      <c r="H42" s="69">
        <v>0</v>
      </c>
      <c r="I42" s="69">
        <v>0</v>
      </c>
      <c r="J42" s="69">
        <v>0</v>
      </c>
      <c r="K42" s="70">
        <v>0</v>
      </c>
      <c r="L42" s="55">
        <v>0</v>
      </c>
      <c r="M42" s="36">
        <v>0</v>
      </c>
      <c r="N42" s="36">
        <v>272</v>
      </c>
      <c r="O42" s="36">
        <v>0</v>
      </c>
      <c r="P42" s="36">
        <v>0</v>
      </c>
      <c r="Q42" s="36"/>
      <c r="R42" s="36"/>
      <c r="S42" s="37"/>
      <c r="T42"/>
      <c r="U42"/>
      <c r="V42" s="44"/>
      <c r="W42"/>
      <c r="X42"/>
      <c r="Y42"/>
      <c r="Z42" s="6"/>
      <c r="AA42" s="5"/>
      <c r="AB42" s="6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2.5" x14ac:dyDescent="0.25">
      <c r="A43" s="65" t="s">
        <v>35</v>
      </c>
      <c r="B43" s="66" t="s">
        <v>189</v>
      </c>
      <c r="C43" s="59">
        <f>12*900</f>
        <v>10800</v>
      </c>
      <c r="D43" s="59">
        <f>12*850</f>
        <v>10200</v>
      </c>
      <c r="E43" s="69">
        <f>12*850</f>
        <v>10200</v>
      </c>
      <c r="F43" s="69">
        <v>9600</v>
      </c>
      <c r="G43" s="69">
        <f>12*800</f>
        <v>9600</v>
      </c>
      <c r="H43" s="69">
        <f>12*800</f>
        <v>9600</v>
      </c>
      <c r="I43" s="69">
        <v>7200</v>
      </c>
      <c r="J43" s="69">
        <v>7200</v>
      </c>
      <c r="K43" s="70">
        <v>7200</v>
      </c>
      <c r="L43" s="55">
        <f>585*12</f>
        <v>7020</v>
      </c>
      <c r="M43" s="36">
        <f>585*12</f>
        <v>7020</v>
      </c>
      <c r="N43" s="36">
        <f>585*12</f>
        <v>7020</v>
      </c>
      <c r="O43" s="36">
        <v>6600</v>
      </c>
      <c r="P43" s="36">
        <v>6600</v>
      </c>
      <c r="Q43" s="36">
        <v>6000</v>
      </c>
      <c r="R43" s="36">
        <v>6000</v>
      </c>
      <c r="S43" s="37">
        <v>5400</v>
      </c>
      <c r="T43"/>
      <c r="U43"/>
      <c r="V43" s="44"/>
      <c r="W43"/>
      <c r="X43"/>
      <c r="Y43"/>
      <c r="Z43" s="6"/>
      <c r="AA43" s="5">
        <v>0</v>
      </c>
      <c r="AB43" s="6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2.5" x14ac:dyDescent="0.25">
      <c r="A44" s="65" t="s">
        <v>36</v>
      </c>
      <c r="B44" s="66" t="s">
        <v>49</v>
      </c>
      <c r="C44" s="59">
        <v>500</v>
      </c>
      <c r="D44" s="59">
        <v>500</v>
      </c>
      <c r="E44" s="69">
        <v>500</v>
      </c>
      <c r="F44" s="69">
        <v>1018</v>
      </c>
      <c r="G44" s="69">
        <v>200</v>
      </c>
      <c r="H44" s="69">
        <v>200</v>
      </c>
      <c r="I44" s="69">
        <v>200</v>
      </c>
      <c r="J44" s="69">
        <v>200</v>
      </c>
      <c r="K44" s="70">
        <v>350</v>
      </c>
      <c r="L44" s="55">
        <v>350</v>
      </c>
      <c r="M44" s="36">
        <v>250</v>
      </c>
      <c r="N44" s="36">
        <v>350</v>
      </c>
      <c r="O44" s="36">
        <v>250</v>
      </c>
      <c r="P44" s="36">
        <v>250</v>
      </c>
      <c r="Q44" s="36">
        <v>500</v>
      </c>
      <c r="R44" s="36">
        <v>2000</v>
      </c>
      <c r="S44" s="37">
        <v>10000</v>
      </c>
      <c r="T44"/>
      <c r="U44"/>
      <c r="V44" s="44"/>
      <c r="W44"/>
      <c r="X44"/>
      <c r="Y44"/>
      <c r="Z44" s="6"/>
      <c r="AA44" s="5">
        <v>92</v>
      </c>
      <c r="AB44" s="6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2.5" hidden="1" x14ac:dyDescent="0.25">
      <c r="A45" s="65" t="s">
        <v>37</v>
      </c>
      <c r="B45" s="66" t="s">
        <v>50</v>
      </c>
      <c r="C45" s="59">
        <v>0</v>
      </c>
      <c r="D45" s="59">
        <v>0</v>
      </c>
      <c r="E45" s="69">
        <v>0</v>
      </c>
      <c r="F45" s="69"/>
      <c r="G45" s="69">
        <v>0</v>
      </c>
      <c r="H45" s="69">
        <v>0</v>
      </c>
      <c r="I45" s="69">
        <v>0</v>
      </c>
      <c r="J45" s="69">
        <v>0</v>
      </c>
      <c r="K45" s="70">
        <v>0</v>
      </c>
      <c r="L45" s="55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500</v>
      </c>
      <c r="S45" s="37">
        <v>0</v>
      </c>
      <c r="T45"/>
      <c r="U45"/>
      <c r="V45" s="44"/>
      <c r="W45"/>
      <c r="X45"/>
      <c r="Y45"/>
      <c r="Z45" s="6"/>
      <c r="AA45" s="5">
        <v>4154</v>
      </c>
      <c r="AB45" s="6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2.5" x14ac:dyDescent="0.25">
      <c r="A46" s="65" t="s">
        <v>38</v>
      </c>
      <c r="B46" s="66" t="s">
        <v>190</v>
      </c>
      <c r="C46" s="59">
        <v>1200</v>
      </c>
      <c r="D46" s="59">
        <f>60*62</f>
        <v>3720</v>
      </c>
      <c r="E46" s="69">
        <f>60*62</f>
        <v>3720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70">
        <v>1860</v>
      </c>
      <c r="L46" s="55">
        <v>1860</v>
      </c>
      <c r="M46" s="36">
        <v>620</v>
      </c>
      <c r="N46" s="36">
        <v>0</v>
      </c>
      <c r="O46" s="36">
        <v>500</v>
      </c>
      <c r="P46" s="36">
        <v>300</v>
      </c>
      <c r="Q46" s="36">
        <v>300</v>
      </c>
      <c r="R46" s="36">
        <v>300</v>
      </c>
      <c r="S46" s="37">
        <v>300</v>
      </c>
      <c r="T46"/>
      <c r="U46"/>
      <c r="V46" s="44"/>
      <c r="W46"/>
      <c r="X46"/>
      <c r="Y46"/>
      <c r="Z46" s="6"/>
      <c r="AA46" s="5">
        <v>1.75</v>
      </c>
      <c r="AB46" s="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12.5" x14ac:dyDescent="0.25">
      <c r="A47" s="65" t="s">
        <v>39</v>
      </c>
      <c r="B47" s="66" t="s">
        <v>51</v>
      </c>
      <c r="C47" s="59">
        <v>7200</v>
      </c>
      <c r="D47" s="59">
        <v>7200</v>
      </c>
      <c r="E47" s="59">
        <v>7000</v>
      </c>
      <c r="F47" s="59">
        <v>7153</v>
      </c>
      <c r="G47" s="59">
        <v>5600</v>
      </c>
      <c r="H47" s="59">
        <v>5600</v>
      </c>
      <c r="I47" s="59">
        <v>5600</v>
      </c>
      <c r="J47" s="59">
        <v>5600</v>
      </c>
      <c r="K47" s="60">
        <v>5300</v>
      </c>
      <c r="L47" s="57">
        <v>4500</v>
      </c>
      <c r="M47" s="53">
        <v>4993</v>
      </c>
      <c r="N47" s="36">
        <v>3837</v>
      </c>
      <c r="O47" s="36">
        <v>5000</v>
      </c>
      <c r="P47" s="36">
        <v>5000</v>
      </c>
      <c r="Q47" s="36">
        <v>5000</v>
      </c>
      <c r="R47" s="36">
        <v>2500</v>
      </c>
      <c r="S47" s="37">
        <v>6000</v>
      </c>
      <c r="T47"/>
      <c r="U47"/>
      <c r="V47" s="44"/>
      <c r="W47"/>
      <c r="X47"/>
      <c r="Y47"/>
      <c r="Z47" s="6"/>
      <c r="AA47" s="5">
        <v>6602</v>
      </c>
      <c r="AB47" s="6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2.5" x14ac:dyDescent="0.25">
      <c r="A48" s="65" t="s">
        <v>40</v>
      </c>
      <c r="B48" s="66" t="s">
        <v>52</v>
      </c>
      <c r="C48" s="59">
        <v>150</v>
      </c>
      <c r="D48" s="59">
        <v>150</v>
      </c>
      <c r="E48" s="69">
        <v>150</v>
      </c>
      <c r="F48" s="69">
        <v>1266</v>
      </c>
      <c r="G48" s="69">
        <v>150</v>
      </c>
      <c r="H48" s="69">
        <v>150</v>
      </c>
      <c r="I48" s="69">
        <v>150</v>
      </c>
      <c r="J48" s="69">
        <v>150</v>
      </c>
      <c r="K48" s="70">
        <v>220</v>
      </c>
      <c r="L48" s="55">
        <v>220</v>
      </c>
      <c r="M48" s="36">
        <v>220</v>
      </c>
      <c r="N48" s="36">
        <v>200</v>
      </c>
      <c r="O48" s="36">
        <v>200</v>
      </c>
      <c r="P48" s="36">
        <v>0</v>
      </c>
      <c r="Q48" s="36">
        <v>0</v>
      </c>
      <c r="R48" s="36">
        <v>0</v>
      </c>
      <c r="S48" s="37">
        <v>20</v>
      </c>
      <c r="T48"/>
      <c r="U48"/>
      <c r="V48" s="44"/>
      <c r="W48"/>
      <c r="X48"/>
      <c r="Y48"/>
      <c r="Z48" s="6"/>
      <c r="AA48" s="5">
        <v>10</v>
      </c>
      <c r="AB48" s="6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2.5" hidden="1" x14ac:dyDescent="0.25">
      <c r="A49" s="65" t="s">
        <v>41</v>
      </c>
      <c r="B49" s="66" t="s">
        <v>53</v>
      </c>
      <c r="C49" s="59">
        <v>0</v>
      </c>
      <c r="D49" s="59">
        <v>0</v>
      </c>
      <c r="E49" s="69">
        <v>0</v>
      </c>
      <c r="F49" s="69"/>
      <c r="G49" s="69">
        <v>0</v>
      </c>
      <c r="H49" s="69">
        <v>0</v>
      </c>
      <c r="I49" s="69">
        <v>0</v>
      </c>
      <c r="J49" s="69">
        <v>0</v>
      </c>
      <c r="K49" s="70">
        <v>0</v>
      </c>
      <c r="L49" s="55">
        <v>0</v>
      </c>
      <c r="M49" s="36">
        <v>0</v>
      </c>
      <c r="N49" s="36">
        <v>1171</v>
      </c>
      <c r="O49" s="36">
        <v>0</v>
      </c>
      <c r="P49" s="36">
        <v>0</v>
      </c>
      <c r="Q49" s="36">
        <v>500</v>
      </c>
      <c r="R49" s="36">
        <v>500</v>
      </c>
      <c r="S49" s="37">
        <v>100</v>
      </c>
      <c r="T49"/>
      <c r="U49"/>
      <c r="V49" s="44"/>
      <c r="W49"/>
      <c r="X49"/>
      <c r="Y49"/>
      <c r="Z49" s="6"/>
      <c r="AA49" s="5">
        <v>448.2</v>
      </c>
      <c r="AB49" s="6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12.5" x14ac:dyDescent="0.25">
      <c r="A50" s="65" t="s">
        <v>42</v>
      </c>
      <c r="B50" s="66" t="s">
        <v>54</v>
      </c>
      <c r="C50" s="59">
        <v>20000</v>
      </c>
      <c r="D50" s="59">
        <v>18700</v>
      </c>
      <c r="E50" s="69">
        <v>18700</v>
      </c>
      <c r="F50" s="69">
        <v>17522</v>
      </c>
      <c r="G50" s="69">
        <v>13700</v>
      </c>
      <c r="H50" s="69">
        <v>13100</v>
      </c>
      <c r="I50" s="69">
        <v>10900</v>
      </c>
      <c r="J50" s="69">
        <v>10600</v>
      </c>
      <c r="K50" s="70">
        <v>10300</v>
      </c>
      <c r="L50" s="55">
        <v>10300</v>
      </c>
      <c r="M50" s="36">
        <v>9987</v>
      </c>
      <c r="N50" s="36">
        <v>12000</v>
      </c>
      <c r="O50" s="36">
        <v>3800</v>
      </c>
      <c r="P50" s="36">
        <v>3800</v>
      </c>
      <c r="Q50" s="36">
        <v>3500</v>
      </c>
      <c r="R50" s="36">
        <v>3200</v>
      </c>
      <c r="S50" s="37">
        <v>3200</v>
      </c>
      <c r="T50"/>
      <c r="U50"/>
      <c r="V50" s="44"/>
      <c r="W50"/>
      <c r="X50"/>
      <c r="Y50"/>
      <c r="Z50" s="6"/>
      <c r="AA50" s="5">
        <v>1031.73</v>
      </c>
      <c r="AB50" s="6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ht="13" thickBot="1" x14ac:dyDescent="0.3">
      <c r="A51" s="65" t="s">
        <v>43</v>
      </c>
      <c r="B51" s="66" t="s">
        <v>55</v>
      </c>
      <c r="C51" s="59">
        <v>14500</v>
      </c>
      <c r="D51" s="59">
        <v>14000</v>
      </c>
      <c r="E51" s="69">
        <v>14000</v>
      </c>
      <c r="F51" s="69">
        <v>13181</v>
      </c>
      <c r="G51" s="69">
        <v>13800</v>
      </c>
      <c r="H51" s="69">
        <v>13800</v>
      </c>
      <c r="I51" s="69">
        <v>13100</v>
      </c>
      <c r="J51" s="69">
        <v>12900</v>
      </c>
      <c r="K51" s="70">
        <v>11500</v>
      </c>
      <c r="L51" s="55">
        <v>12000</v>
      </c>
      <c r="M51" s="46">
        <v>11880</v>
      </c>
      <c r="N51" s="46">
        <v>11819</v>
      </c>
      <c r="O51" s="46">
        <v>11000</v>
      </c>
      <c r="P51" s="46">
        <v>10000</v>
      </c>
      <c r="Q51" s="46">
        <v>10000</v>
      </c>
      <c r="R51" s="46">
        <v>8500</v>
      </c>
      <c r="S51" s="39">
        <v>10000</v>
      </c>
      <c r="T51"/>
      <c r="U51"/>
      <c r="V51" s="44"/>
      <c r="W51"/>
      <c r="X51"/>
      <c r="Y51"/>
      <c r="Z51" s="6"/>
      <c r="AA51" s="5">
        <v>568.39</v>
      </c>
      <c r="AB51" s="6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13.5" thickTop="1" thickBot="1" x14ac:dyDescent="0.3">
      <c r="A52" s="65" t="s">
        <v>116</v>
      </c>
      <c r="B52" s="66" t="s">
        <v>117</v>
      </c>
      <c r="C52" s="59">
        <v>0</v>
      </c>
      <c r="D52" s="59">
        <v>500</v>
      </c>
      <c r="E52" s="69">
        <v>500</v>
      </c>
      <c r="F52" s="69">
        <v>3804</v>
      </c>
      <c r="G52" s="69">
        <v>500</v>
      </c>
      <c r="H52" s="69">
        <v>500</v>
      </c>
      <c r="I52" s="69">
        <v>500</v>
      </c>
      <c r="J52" s="69">
        <v>500</v>
      </c>
      <c r="K52" s="70">
        <v>500</v>
      </c>
      <c r="L52" s="56">
        <v>500</v>
      </c>
      <c r="M52" s="38">
        <v>500</v>
      </c>
      <c r="N52" s="38">
        <v>500</v>
      </c>
      <c r="O52" s="46">
        <v>500</v>
      </c>
      <c r="P52" s="46">
        <v>500</v>
      </c>
      <c r="Q52" s="46">
        <v>0</v>
      </c>
      <c r="R52" s="46">
        <v>0</v>
      </c>
      <c r="S52" s="15"/>
      <c r="T52"/>
      <c r="U52"/>
      <c r="V52" s="44"/>
      <c r="W52"/>
      <c r="X52"/>
      <c r="Y52"/>
      <c r="Z52" s="6"/>
      <c r="AA52" s="5"/>
      <c r="AB52" s="6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13" thickTop="1" x14ac:dyDescent="0.25">
      <c r="A53" s="65"/>
      <c r="B53" s="66"/>
      <c r="C53" s="59"/>
      <c r="D53" s="59"/>
      <c r="E53" s="69"/>
      <c r="F53" s="69"/>
      <c r="G53" s="69"/>
      <c r="H53" s="69"/>
      <c r="I53" s="69"/>
      <c r="J53" s="69"/>
      <c r="K53" s="70"/>
      <c r="L53" s="15"/>
      <c r="M53" s="15"/>
      <c r="N53" s="15"/>
      <c r="O53" s="15"/>
      <c r="P53" s="15"/>
      <c r="Q53" s="15"/>
      <c r="R53" s="15"/>
      <c r="S53" s="15"/>
      <c r="T53"/>
      <c r="U53"/>
      <c r="V53" s="44"/>
      <c r="W53"/>
      <c r="X53"/>
      <c r="Y53"/>
      <c r="Z53" s="6"/>
      <c r="AA53" s="5">
        <v>676.07</v>
      </c>
      <c r="AB53" s="6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2.5" x14ac:dyDescent="0.25">
      <c r="A54" s="65"/>
      <c r="B54" s="66" t="s">
        <v>56</v>
      </c>
      <c r="C54" s="59">
        <f t="shared" ref="C54" si="12">SUM(C36:C53)</f>
        <v>68400</v>
      </c>
      <c r="D54" s="59">
        <f t="shared" ref="D54:E54" si="13">SUM(D36:D53)</f>
        <v>68220</v>
      </c>
      <c r="E54" s="69">
        <f t="shared" si="13"/>
        <v>68420</v>
      </c>
      <c r="F54" s="69">
        <f>SUM(F36:F52)</f>
        <v>63540</v>
      </c>
      <c r="G54" s="69">
        <f t="shared" ref="G54:H54" si="14">SUM(G36:G53)</f>
        <v>56850</v>
      </c>
      <c r="H54" s="69">
        <f t="shared" si="14"/>
        <v>56250</v>
      </c>
      <c r="I54" s="69">
        <f t="shared" ref="I54:J54" si="15">SUM(I36:I53)</f>
        <v>49900</v>
      </c>
      <c r="J54" s="69">
        <f t="shared" si="15"/>
        <v>48800</v>
      </c>
      <c r="K54" s="70">
        <f t="shared" ref="K54" si="16">SUM(K36:K53)</f>
        <v>49830</v>
      </c>
      <c r="L54" s="15">
        <f t="shared" ref="L54" si="17">SUM(L36:L53)</f>
        <v>49450</v>
      </c>
      <c r="M54" s="15">
        <f t="shared" ref="M54:S54" si="18">SUM(M36:M53)</f>
        <v>47854</v>
      </c>
      <c r="N54" s="15">
        <f t="shared" ref="N54" si="19">SUM(N36:N53)</f>
        <v>48183</v>
      </c>
      <c r="O54" s="15">
        <f t="shared" si="18"/>
        <v>39050</v>
      </c>
      <c r="P54" s="15">
        <f t="shared" si="18"/>
        <v>37250</v>
      </c>
      <c r="Q54" s="15">
        <f t="shared" si="18"/>
        <v>36420</v>
      </c>
      <c r="R54" s="15">
        <f t="shared" si="18"/>
        <v>33120</v>
      </c>
      <c r="S54" s="15">
        <f t="shared" si="18"/>
        <v>43470</v>
      </c>
      <c r="T54"/>
      <c r="U54"/>
      <c r="V54" s="44"/>
      <c r="W54"/>
      <c r="X54"/>
      <c r="Y54"/>
      <c r="Z54" s="6"/>
      <c r="AA54" s="5">
        <v>3116.12</v>
      </c>
      <c r="AB54" s="6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ht="12.5" x14ac:dyDescent="0.25">
      <c r="A55" s="65"/>
      <c r="B55" s="66"/>
      <c r="C55" s="59"/>
      <c r="D55" s="59"/>
      <c r="E55" s="69"/>
      <c r="F55" s="69"/>
      <c r="G55" s="69"/>
      <c r="H55" s="69"/>
      <c r="I55" s="69"/>
      <c r="J55" s="69"/>
      <c r="K55" s="70"/>
      <c r="L55" s="15"/>
      <c r="M55" s="15"/>
      <c r="N55" s="15"/>
      <c r="O55" s="15"/>
      <c r="P55" s="15"/>
      <c r="Q55" s="15"/>
      <c r="R55" s="15"/>
      <c r="S55" s="15"/>
      <c r="T55"/>
      <c r="U55"/>
      <c r="V55" s="44"/>
      <c r="W55"/>
      <c r="X55"/>
      <c r="Y55"/>
      <c r="Z55" s="6"/>
      <c r="AA55" s="5">
        <v>7334.87</v>
      </c>
      <c r="AB55" s="6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ht="12.5" x14ac:dyDescent="0.25">
      <c r="A56" s="65" t="s">
        <v>62</v>
      </c>
      <c r="B56" s="66"/>
      <c r="C56" s="59"/>
      <c r="D56" s="59"/>
      <c r="E56" s="69"/>
      <c r="F56" s="69"/>
      <c r="G56" s="69"/>
      <c r="H56" s="69"/>
      <c r="I56" s="69"/>
      <c r="J56" s="69"/>
      <c r="K56" s="70"/>
      <c r="L56" s="15"/>
      <c r="M56" s="15"/>
      <c r="N56" s="15"/>
      <c r="O56" s="15"/>
      <c r="P56" s="15"/>
      <c r="Q56" s="15"/>
      <c r="R56" s="15"/>
      <c r="S56" s="15"/>
      <c r="T56"/>
      <c r="U56"/>
      <c r="V56" s="44"/>
      <c r="W56"/>
      <c r="X56"/>
      <c r="Y56"/>
      <c r="Z56" s="6"/>
      <c r="AA56" s="7">
        <f>SUM(AA36:AA55)</f>
        <v>31100.69</v>
      </c>
      <c r="AB56" s="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ht="12.5" x14ac:dyDescent="0.25">
      <c r="A57" s="65"/>
      <c r="B57" s="66"/>
      <c r="C57" s="59"/>
      <c r="D57" s="59"/>
      <c r="E57" s="69"/>
      <c r="F57" s="69"/>
      <c r="G57" s="69"/>
      <c r="H57" s="69"/>
      <c r="I57" s="69"/>
      <c r="J57" s="69"/>
      <c r="K57" s="70"/>
      <c r="L57" s="15"/>
      <c r="M57" s="15"/>
      <c r="N57" s="15"/>
      <c r="O57" s="15"/>
      <c r="P57" s="15"/>
      <c r="Q57" s="15"/>
      <c r="R57" s="15"/>
      <c r="S57" s="15"/>
      <c r="T57"/>
      <c r="U57"/>
      <c r="V57" s="44"/>
      <c r="W57"/>
      <c r="X57"/>
      <c r="Y57"/>
      <c r="Z57" s="6"/>
      <c r="AA57" s="5"/>
      <c r="AB57" s="6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ht="11.25" customHeight="1" x14ac:dyDescent="0.25">
      <c r="A58" s="65" t="s">
        <v>57</v>
      </c>
      <c r="B58" s="66" t="s">
        <v>58</v>
      </c>
      <c r="C58" s="59">
        <v>800</v>
      </c>
      <c r="D58" s="59">
        <v>750</v>
      </c>
      <c r="E58" s="69">
        <v>750</v>
      </c>
      <c r="F58" s="69">
        <v>0</v>
      </c>
      <c r="G58" s="69">
        <v>850</v>
      </c>
      <c r="H58" s="69">
        <v>850</v>
      </c>
      <c r="I58" s="69">
        <v>650</v>
      </c>
      <c r="J58" s="69">
        <v>850</v>
      </c>
      <c r="K58" s="70">
        <v>800</v>
      </c>
      <c r="L58" s="54">
        <v>650</v>
      </c>
      <c r="M58" s="34">
        <v>650</v>
      </c>
      <c r="N58" s="34">
        <v>650</v>
      </c>
      <c r="O58" s="34">
        <v>650</v>
      </c>
      <c r="P58" s="34">
        <v>500</v>
      </c>
      <c r="Q58" s="34">
        <v>500</v>
      </c>
      <c r="R58" s="34">
        <v>500</v>
      </c>
      <c r="S58" s="35">
        <v>500</v>
      </c>
      <c r="T58"/>
      <c r="U58"/>
      <c r="V58" s="44"/>
      <c r="W58" s="49"/>
      <c r="X58"/>
      <c r="Y58"/>
      <c r="Z58" s="6"/>
      <c r="AA58" s="5"/>
      <c r="AB58" s="6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ht="12.5" hidden="1" x14ac:dyDescent="0.25">
      <c r="A59" s="65" t="s">
        <v>59</v>
      </c>
      <c r="B59" s="66" t="s">
        <v>118</v>
      </c>
      <c r="C59" s="59">
        <v>0</v>
      </c>
      <c r="D59" s="59">
        <v>0</v>
      </c>
      <c r="E59" s="69">
        <v>0</v>
      </c>
      <c r="F59" s="69"/>
      <c r="G59" s="69">
        <v>0</v>
      </c>
      <c r="H59" s="69">
        <v>0</v>
      </c>
      <c r="I59" s="69">
        <v>0</v>
      </c>
      <c r="J59" s="69">
        <v>0</v>
      </c>
      <c r="K59" s="70">
        <v>0</v>
      </c>
      <c r="L59" s="55">
        <v>0</v>
      </c>
      <c r="M59" s="47">
        <v>0</v>
      </c>
      <c r="N59" s="47">
        <v>0</v>
      </c>
      <c r="O59" s="47">
        <v>0</v>
      </c>
      <c r="P59" s="47">
        <v>1000</v>
      </c>
      <c r="Q59" s="47">
        <v>0</v>
      </c>
      <c r="R59" s="47">
        <v>8000</v>
      </c>
      <c r="S59" s="48">
        <v>102000</v>
      </c>
      <c r="T59"/>
      <c r="U59"/>
      <c r="V59" s="44"/>
      <c r="W59" s="49"/>
      <c r="X59"/>
      <c r="Y59"/>
      <c r="Z59" s="6"/>
      <c r="AA59" s="5"/>
      <c r="AB59" s="6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ht="12.5" hidden="1" x14ac:dyDescent="0.25">
      <c r="A60" s="65" t="s">
        <v>125</v>
      </c>
      <c r="B60" s="66" t="s">
        <v>128</v>
      </c>
      <c r="C60" s="59">
        <v>0</v>
      </c>
      <c r="D60" s="59">
        <v>0</v>
      </c>
      <c r="E60" s="69">
        <v>0</v>
      </c>
      <c r="F60" s="69"/>
      <c r="G60" s="69">
        <v>0</v>
      </c>
      <c r="H60" s="69">
        <v>0</v>
      </c>
      <c r="I60" s="69">
        <v>0</v>
      </c>
      <c r="J60" s="69">
        <v>0</v>
      </c>
      <c r="K60" s="70">
        <v>0</v>
      </c>
      <c r="L60" s="55">
        <v>0</v>
      </c>
      <c r="M60" s="47">
        <v>0</v>
      </c>
      <c r="N60" s="47">
        <v>0</v>
      </c>
      <c r="O60" s="47">
        <v>39524</v>
      </c>
      <c r="P60" s="47">
        <v>0</v>
      </c>
      <c r="Q60" s="47"/>
      <c r="R60" s="47"/>
      <c r="S60" s="48"/>
      <c r="T60"/>
      <c r="U60"/>
      <c r="V60" s="44"/>
      <c r="W60" s="49"/>
      <c r="X60"/>
      <c r="Y60"/>
      <c r="Z60" s="6"/>
      <c r="AA60" s="5"/>
      <c r="AB60" s="6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ht="12.5" hidden="1" x14ac:dyDescent="0.25">
      <c r="A61" s="65" t="s">
        <v>126</v>
      </c>
      <c r="B61" s="66" t="s">
        <v>129</v>
      </c>
      <c r="C61" s="59">
        <v>0</v>
      </c>
      <c r="D61" s="59">
        <v>0</v>
      </c>
      <c r="E61" s="69">
        <v>0</v>
      </c>
      <c r="F61" s="69"/>
      <c r="G61" s="69">
        <v>0</v>
      </c>
      <c r="H61" s="69">
        <v>0</v>
      </c>
      <c r="I61" s="69">
        <v>0</v>
      </c>
      <c r="J61" s="69">
        <v>0</v>
      </c>
      <c r="K61" s="70">
        <v>0</v>
      </c>
      <c r="L61" s="55">
        <v>0</v>
      </c>
      <c r="M61" s="47">
        <v>0</v>
      </c>
      <c r="N61" s="47">
        <v>0</v>
      </c>
      <c r="O61" s="47">
        <v>120445</v>
      </c>
      <c r="P61" s="47">
        <v>0</v>
      </c>
      <c r="Q61" s="47"/>
      <c r="R61" s="47"/>
      <c r="S61" s="48"/>
      <c r="T61"/>
      <c r="U61"/>
      <c r="V61" s="44"/>
      <c r="W61" s="49"/>
      <c r="X61"/>
      <c r="Y61"/>
      <c r="Z61" s="6"/>
      <c r="AA61" s="5"/>
      <c r="AB61" s="6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ht="12.5" hidden="1" x14ac:dyDescent="0.25">
      <c r="A62" s="72" t="s">
        <v>127</v>
      </c>
      <c r="B62" s="66" t="s">
        <v>147</v>
      </c>
      <c r="C62" s="59">
        <v>0</v>
      </c>
      <c r="D62" s="59">
        <v>0</v>
      </c>
      <c r="E62" s="69">
        <v>0</v>
      </c>
      <c r="F62" s="69"/>
      <c r="G62" s="69">
        <v>0</v>
      </c>
      <c r="H62" s="69">
        <v>0</v>
      </c>
      <c r="I62" s="69">
        <v>0</v>
      </c>
      <c r="J62" s="69">
        <v>0</v>
      </c>
      <c r="K62" s="70">
        <v>0</v>
      </c>
      <c r="L62" s="55">
        <v>0</v>
      </c>
      <c r="M62" s="47">
        <v>0</v>
      </c>
      <c r="N62" s="47">
        <v>0</v>
      </c>
      <c r="O62" s="47">
        <v>47254</v>
      </c>
      <c r="P62" s="47">
        <v>0</v>
      </c>
      <c r="Q62" s="47"/>
      <c r="R62" s="47"/>
      <c r="S62" s="48"/>
      <c r="T62"/>
      <c r="U62"/>
      <c r="V62" s="44"/>
      <c r="W62" s="49"/>
      <c r="X62"/>
      <c r="Y62"/>
      <c r="Z62" s="6"/>
      <c r="AA62" s="5"/>
      <c r="AB62" s="6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ht="12.5" x14ac:dyDescent="0.25">
      <c r="A63" s="72" t="s">
        <v>148</v>
      </c>
      <c r="B63" s="66" t="s">
        <v>136</v>
      </c>
      <c r="C63" s="59">
        <v>0</v>
      </c>
      <c r="D63" s="59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2500</v>
      </c>
      <c r="K63" s="70">
        <v>2500</v>
      </c>
      <c r="L63" s="55">
        <v>0</v>
      </c>
      <c r="M63" s="47">
        <v>0</v>
      </c>
      <c r="N63" s="47">
        <v>0</v>
      </c>
      <c r="O63" s="47">
        <v>5000</v>
      </c>
      <c r="P63" s="47">
        <v>0</v>
      </c>
      <c r="Q63" s="47"/>
      <c r="R63" s="47"/>
      <c r="S63" s="48"/>
      <c r="T63"/>
      <c r="U63"/>
      <c r="V63" s="44"/>
      <c r="W63" s="49"/>
      <c r="X63"/>
      <c r="Y63"/>
      <c r="Z63" s="6"/>
      <c r="AA63" s="5"/>
      <c r="AB63" s="6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ht="12.5" x14ac:dyDescent="0.25">
      <c r="A64" s="72" t="s">
        <v>149</v>
      </c>
      <c r="B64" s="79" t="s">
        <v>162</v>
      </c>
      <c r="C64" s="59">
        <v>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69">
        <v>0</v>
      </c>
      <c r="J64" s="69">
        <v>0</v>
      </c>
      <c r="K64" s="70">
        <v>2000</v>
      </c>
      <c r="L64" s="55">
        <v>0</v>
      </c>
      <c r="M64" s="47">
        <v>0</v>
      </c>
      <c r="N64" s="47">
        <v>0</v>
      </c>
      <c r="O64" s="47">
        <v>3500</v>
      </c>
      <c r="P64" s="47">
        <v>0</v>
      </c>
      <c r="Q64" s="47"/>
      <c r="R64" s="47"/>
      <c r="S64" s="48"/>
      <c r="T64"/>
      <c r="U64"/>
      <c r="V64" s="44"/>
      <c r="W64" s="49"/>
      <c r="X64"/>
      <c r="Y64"/>
      <c r="Z64" s="6"/>
      <c r="AA64" s="5"/>
      <c r="AB64" s="6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ht="12.5" hidden="1" x14ac:dyDescent="0.25">
      <c r="A65" s="72" t="s">
        <v>43</v>
      </c>
      <c r="B65" s="66" t="s">
        <v>138</v>
      </c>
      <c r="C65" s="59">
        <v>0</v>
      </c>
      <c r="D65" s="59">
        <v>0</v>
      </c>
      <c r="E65" s="69">
        <v>0</v>
      </c>
      <c r="F65" s="69"/>
      <c r="G65" s="69">
        <v>0</v>
      </c>
      <c r="H65" s="69">
        <v>0</v>
      </c>
      <c r="I65" s="69">
        <v>0</v>
      </c>
      <c r="J65" s="69">
        <v>0</v>
      </c>
      <c r="K65" s="70">
        <v>0</v>
      </c>
      <c r="L65" s="55">
        <v>0</v>
      </c>
      <c r="M65" s="47">
        <v>0</v>
      </c>
      <c r="N65" s="47">
        <v>0</v>
      </c>
      <c r="O65" s="47">
        <v>7000</v>
      </c>
      <c r="P65" s="47">
        <v>0</v>
      </c>
      <c r="Q65" s="47"/>
      <c r="R65" s="47"/>
      <c r="S65" s="48"/>
      <c r="T65"/>
      <c r="U65"/>
      <c r="V65" s="44"/>
      <c r="W65" s="49"/>
      <c r="X65"/>
      <c r="Y65"/>
      <c r="Z65" s="6"/>
      <c r="AA65" s="5"/>
      <c r="AB65" s="6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ht="12.5" x14ac:dyDescent="0.25">
      <c r="A66" s="72" t="s">
        <v>150</v>
      </c>
      <c r="B66" s="66" t="s">
        <v>152</v>
      </c>
      <c r="C66" s="59">
        <v>3500</v>
      </c>
      <c r="D66" s="59">
        <v>3500</v>
      </c>
      <c r="E66" s="69">
        <v>3500</v>
      </c>
      <c r="F66" s="69">
        <v>0</v>
      </c>
      <c r="G66" s="69">
        <v>3500</v>
      </c>
      <c r="H66" s="69">
        <v>3500</v>
      </c>
      <c r="I66" s="69">
        <v>3500</v>
      </c>
      <c r="J66" s="69">
        <v>3000</v>
      </c>
      <c r="K66" s="70">
        <v>4000</v>
      </c>
      <c r="L66" s="55">
        <v>0</v>
      </c>
      <c r="M66" s="47">
        <v>0</v>
      </c>
      <c r="N66" s="47">
        <v>0</v>
      </c>
      <c r="O66" s="47">
        <v>1000</v>
      </c>
      <c r="P66" s="47">
        <v>0</v>
      </c>
      <c r="Q66" s="47"/>
      <c r="R66" s="47"/>
      <c r="S66" s="48"/>
      <c r="T66"/>
      <c r="U66"/>
      <c r="V66" s="44"/>
      <c r="W66"/>
      <c r="X66"/>
      <c r="Y66"/>
      <c r="Z66" s="6"/>
      <c r="AA66" s="5"/>
      <c r="AB66" s="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ht="12.5" hidden="1" x14ac:dyDescent="0.25">
      <c r="A67" s="72" t="s">
        <v>151</v>
      </c>
      <c r="B67" s="66" t="s">
        <v>140</v>
      </c>
      <c r="C67" s="59">
        <v>0</v>
      </c>
      <c r="D67" s="59">
        <v>0</v>
      </c>
      <c r="E67" s="69">
        <v>0</v>
      </c>
      <c r="F67" s="69"/>
      <c r="G67" s="69">
        <v>0</v>
      </c>
      <c r="H67" s="69">
        <v>0</v>
      </c>
      <c r="I67" s="69">
        <v>0</v>
      </c>
      <c r="J67" s="69">
        <v>0</v>
      </c>
      <c r="K67" s="70">
        <v>0</v>
      </c>
      <c r="L67" s="55">
        <v>0</v>
      </c>
      <c r="M67" s="47">
        <v>0</v>
      </c>
      <c r="N67" s="47">
        <v>0</v>
      </c>
      <c r="O67" s="47">
        <v>1000</v>
      </c>
      <c r="P67" s="47">
        <v>0</v>
      </c>
      <c r="Q67" s="47"/>
      <c r="R67" s="47"/>
      <c r="S67" s="48"/>
      <c r="T67"/>
      <c r="U67"/>
      <c r="V67" s="44"/>
      <c r="W67"/>
      <c r="X67"/>
      <c r="Y67"/>
      <c r="Z67" s="6"/>
      <c r="AA67" s="5"/>
      <c r="AB67" s="6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ht="13" thickBot="1" x14ac:dyDescent="0.3">
      <c r="A68" s="72" t="s">
        <v>153</v>
      </c>
      <c r="B68" s="66" t="s">
        <v>164</v>
      </c>
      <c r="C68" s="59">
        <v>0</v>
      </c>
      <c r="D68" s="59">
        <v>0</v>
      </c>
      <c r="E68" s="69">
        <v>0</v>
      </c>
      <c r="F68" s="69">
        <v>19595</v>
      </c>
      <c r="G68" s="69">
        <v>15000</v>
      </c>
      <c r="H68" s="69">
        <v>0</v>
      </c>
      <c r="I68" s="69">
        <v>30989.040000000001</v>
      </c>
      <c r="J68" s="69">
        <v>30989.040000000001</v>
      </c>
      <c r="K68" s="70">
        <v>30989.040000000001</v>
      </c>
      <c r="L68" s="56">
        <v>30989.040000000001</v>
      </c>
      <c r="M68" s="38">
        <v>30989.040000000001</v>
      </c>
      <c r="N68" s="38">
        <v>30989.040000000001</v>
      </c>
      <c r="O68" s="38">
        <v>19299</v>
      </c>
      <c r="P68" s="38">
        <v>0</v>
      </c>
      <c r="Q68" s="38"/>
      <c r="R68" s="38"/>
      <c r="S68" s="39"/>
      <c r="T68"/>
      <c r="U68"/>
      <c r="V68" s="44"/>
      <c r="W68"/>
      <c r="X68"/>
      <c r="Y68"/>
      <c r="Z68" s="6"/>
      <c r="AA68" s="5">
        <v>2206</v>
      </c>
      <c r="AB68" s="6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ht="13" thickTop="1" x14ac:dyDescent="0.25">
      <c r="A69" s="72" t="s">
        <v>197</v>
      </c>
      <c r="B69" s="66" t="s">
        <v>191</v>
      </c>
      <c r="C69" s="59">
        <v>400</v>
      </c>
      <c r="D69" s="59">
        <v>0</v>
      </c>
      <c r="E69" s="69"/>
      <c r="F69" s="69"/>
      <c r="G69" s="69"/>
      <c r="H69" s="69"/>
      <c r="I69" s="69"/>
      <c r="J69" s="69"/>
      <c r="K69" s="70"/>
      <c r="L69" s="15"/>
      <c r="M69" s="15"/>
      <c r="N69" s="15"/>
      <c r="O69" s="15"/>
      <c r="P69" s="15"/>
      <c r="Q69" s="15"/>
      <c r="R69" s="15"/>
      <c r="S69" s="15"/>
      <c r="T69"/>
      <c r="U69"/>
      <c r="V69" s="44"/>
      <c r="W69"/>
      <c r="X69"/>
      <c r="Y69"/>
      <c r="Z69" s="6"/>
      <c r="AA69" s="5"/>
      <c r="AB69" s="6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ht="12.5" x14ac:dyDescent="0.25">
      <c r="A70" s="72" t="s">
        <v>198</v>
      </c>
      <c r="B70" s="66" t="s">
        <v>192</v>
      </c>
      <c r="C70" s="59">
        <v>200</v>
      </c>
      <c r="D70" s="59">
        <v>0</v>
      </c>
      <c r="E70" s="69"/>
      <c r="F70" s="69"/>
      <c r="G70" s="69"/>
      <c r="H70" s="69"/>
      <c r="I70" s="69"/>
      <c r="J70" s="69"/>
      <c r="K70" s="70"/>
      <c r="L70" s="15"/>
      <c r="M70" s="15"/>
      <c r="N70" s="15"/>
      <c r="O70" s="15"/>
      <c r="P70" s="15"/>
      <c r="Q70" s="15"/>
      <c r="R70" s="15"/>
      <c r="S70" s="15"/>
      <c r="T70"/>
      <c r="U70"/>
      <c r="V70" s="44"/>
      <c r="W70"/>
      <c r="X70"/>
      <c r="Y70"/>
      <c r="Z70" s="6"/>
      <c r="AA70" s="5"/>
      <c r="AB70" s="6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ht="12.5" x14ac:dyDescent="0.25">
      <c r="A71" s="72" t="s">
        <v>199</v>
      </c>
      <c r="B71" s="66" t="s">
        <v>193</v>
      </c>
      <c r="C71" s="59">
        <v>100</v>
      </c>
      <c r="D71" s="59">
        <v>0</v>
      </c>
      <c r="E71" s="69"/>
      <c r="F71" s="69"/>
      <c r="G71" s="69"/>
      <c r="H71" s="69"/>
      <c r="I71" s="69"/>
      <c r="J71" s="69"/>
      <c r="K71" s="70"/>
      <c r="L71" s="15"/>
      <c r="M71" s="15"/>
      <c r="N71" s="15"/>
      <c r="O71" s="15"/>
      <c r="P71" s="15"/>
      <c r="Q71" s="15"/>
      <c r="R71" s="15"/>
      <c r="S71" s="15"/>
      <c r="T71"/>
      <c r="U71"/>
      <c r="V71" s="44"/>
      <c r="W71"/>
      <c r="X71"/>
      <c r="Y71"/>
      <c r="Z71" s="6"/>
      <c r="AA71" s="5"/>
      <c r="AB71" s="6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ht="12.5" x14ac:dyDescent="0.25">
      <c r="A72" s="72" t="s">
        <v>200</v>
      </c>
      <c r="B72" s="66" t="s">
        <v>194</v>
      </c>
      <c r="C72" s="59">
        <v>100</v>
      </c>
      <c r="D72" s="59">
        <v>0</v>
      </c>
      <c r="E72" s="69"/>
      <c r="F72" s="69"/>
      <c r="G72" s="69"/>
      <c r="H72" s="69"/>
      <c r="I72" s="69"/>
      <c r="J72" s="69"/>
      <c r="K72" s="70"/>
      <c r="L72" s="15"/>
      <c r="M72" s="15"/>
      <c r="N72" s="15"/>
      <c r="O72" s="15"/>
      <c r="P72" s="15"/>
      <c r="Q72" s="15"/>
      <c r="R72" s="15"/>
      <c r="S72" s="15"/>
      <c r="T72"/>
      <c r="U72"/>
      <c r="V72" s="44"/>
      <c r="W72"/>
      <c r="X72"/>
      <c r="Y72"/>
      <c r="Z72" s="6"/>
      <c r="AA72" s="5"/>
      <c r="AB72" s="6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ht="12.5" x14ac:dyDescent="0.25">
      <c r="A73" s="72" t="s">
        <v>201</v>
      </c>
      <c r="B73" s="66" t="s">
        <v>195</v>
      </c>
      <c r="C73" s="59">
        <v>100</v>
      </c>
      <c r="D73" s="59">
        <v>0</v>
      </c>
      <c r="E73" s="69"/>
      <c r="F73" s="69"/>
      <c r="G73" s="69"/>
      <c r="H73" s="69"/>
      <c r="I73" s="69"/>
      <c r="J73" s="69"/>
      <c r="K73" s="70"/>
      <c r="L73" s="15"/>
      <c r="M73" s="15"/>
      <c r="N73" s="15"/>
      <c r="O73" s="15"/>
      <c r="P73" s="15"/>
      <c r="Q73" s="15"/>
      <c r="R73" s="15"/>
      <c r="S73" s="15"/>
      <c r="T73"/>
      <c r="U73"/>
      <c r="V73" s="44"/>
      <c r="W73"/>
      <c r="X73"/>
      <c r="Y73"/>
      <c r="Z73" s="6"/>
      <c r="AA73" s="5"/>
      <c r="AB73" s="6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ht="12.5" x14ac:dyDescent="0.25">
      <c r="A74" s="72" t="s">
        <v>202</v>
      </c>
      <c r="B74" s="66" t="s">
        <v>206</v>
      </c>
      <c r="C74" s="59">
        <v>2000</v>
      </c>
      <c r="D74" s="59">
        <v>0</v>
      </c>
      <c r="E74" s="69"/>
      <c r="F74" s="69"/>
      <c r="G74" s="69"/>
      <c r="H74" s="69"/>
      <c r="I74" s="69"/>
      <c r="J74" s="69"/>
      <c r="K74" s="70"/>
      <c r="L74" s="15"/>
      <c r="M74" s="15"/>
      <c r="N74" s="15"/>
      <c r="O74" s="15"/>
      <c r="P74" s="15"/>
      <c r="Q74" s="15"/>
      <c r="R74" s="15"/>
      <c r="S74" s="15"/>
      <c r="T74"/>
      <c r="U74"/>
      <c r="V74" s="44"/>
      <c r="W74"/>
      <c r="X74"/>
      <c r="Y74"/>
      <c r="Z74" s="6"/>
      <c r="AA74" s="5"/>
      <c r="AB74" s="6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ht="12.5" x14ac:dyDescent="0.25">
      <c r="A75" s="72" t="s">
        <v>203</v>
      </c>
      <c r="B75" s="66" t="s">
        <v>196</v>
      </c>
      <c r="C75" s="59">
        <v>500</v>
      </c>
      <c r="D75" s="59">
        <v>0</v>
      </c>
      <c r="E75" s="69"/>
      <c r="F75" s="69"/>
      <c r="G75" s="69"/>
      <c r="H75" s="69"/>
      <c r="I75" s="69"/>
      <c r="J75" s="69"/>
      <c r="K75" s="70"/>
      <c r="L75" s="15"/>
      <c r="M75" s="15"/>
      <c r="N75" s="15"/>
      <c r="O75" s="15"/>
      <c r="P75" s="15"/>
      <c r="Q75" s="15"/>
      <c r="R75" s="15"/>
      <c r="S75" s="15"/>
      <c r="T75"/>
      <c r="U75"/>
      <c r="V75" s="44"/>
      <c r="W75"/>
      <c r="X75"/>
      <c r="Y75"/>
      <c r="Z75" s="6"/>
      <c r="AA75" s="5"/>
      <c r="AB75" s="6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ht="13" thickBot="1" x14ac:dyDescent="0.3">
      <c r="A76" s="65" t="s">
        <v>204</v>
      </c>
      <c r="B76" s="66"/>
      <c r="C76" s="59"/>
      <c r="D76" s="59"/>
      <c r="E76" s="69"/>
      <c r="F76" s="69"/>
      <c r="G76" s="69"/>
      <c r="H76" s="69"/>
      <c r="I76" s="69"/>
      <c r="J76" s="69"/>
      <c r="K76" s="70"/>
      <c r="L76" s="15"/>
      <c r="M76" s="15"/>
      <c r="N76" s="15"/>
      <c r="O76" s="15"/>
      <c r="P76" s="15"/>
      <c r="Q76" s="15"/>
      <c r="R76" s="15"/>
      <c r="S76" s="15"/>
      <c r="T76"/>
      <c r="U76"/>
      <c r="V76" s="44"/>
      <c r="W76"/>
      <c r="X76"/>
      <c r="Y76"/>
      <c r="Z76" s="6"/>
      <c r="AA76" s="9">
        <v>2371.5100000000002</v>
      </c>
      <c r="AB76" s="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ht="12.5" x14ac:dyDescent="0.25">
      <c r="A77" s="65"/>
      <c r="B77" s="66"/>
      <c r="C77" s="59"/>
      <c r="D77" s="59"/>
      <c r="E77" s="69"/>
      <c r="F77" s="69"/>
      <c r="G77" s="69"/>
      <c r="H77" s="69"/>
      <c r="I77" s="69"/>
      <c r="J77" s="69"/>
      <c r="K77" s="70"/>
      <c r="L77" s="15"/>
      <c r="M77" s="15"/>
      <c r="N77" s="15"/>
      <c r="O77" s="15"/>
      <c r="P77" s="15"/>
      <c r="Q77" s="15"/>
      <c r="R77" s="15"/>
      <c r="S77" s="15"/>
      <c r="T77"/>
      <c r="U77"/>
      <c r="V77" s="44"/>
      <c r="W77"/>
      <c r="X77"/>
      <c r="Y77"/>
      <c r="Z77" s="6"/>
      <c r="AA77" s="5"/>
      <c r="AB77" s="6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ht="12.5" x14ac:dyDescent="0.25">
      <c r="A78" s="65"/>
      <c r="B78" s="66" t="s">
        <v>60</v>
      </c>
      <c r="C78" s="59">
        <f t="shared" ref="C78" si="20">SUM(C58:C76)</f>
        <v>7700</v>
      </c>
      <c r="D78" s="59">
        <f t="shared" ref="D78:E78" si="21">SUM(D58:D76)</f>
        <v>4250</v>
      </c>
      <c r="E78" s="69">
        <f t="shared" si="21"/>
        <v>4250</v>
      </c>
      <c r="F78" s="69">
        <f>SUM(F58:F68)</f>
        <v>19595</v>
      </c>
      <c r="G78" s="69">
        <f t="shared" ref="G78:H78" si="22">SUM(G58:G76)</f>
        <v>19350</v>
      </c>
      <c r="H78" s="69">
        <f t="shared" si="22"/>
        <v>4350</v>
      </c>
      <c r="I78" s="69">
        <f t="shared" ref="I78:J78" si="23">SUM(I58:I76)</f>
        <v>35139.040000000001</v>
      </c>
      <c r="J78" s="69">
        <f t="shared" si="23"/>
        <v>37339.040000000001</v>
      </c>
      <c r="K78" s="70">
        <f t="shared" ref="K78" si="24">SUM(K58:K76)</f>
        <v>40289.040000000001</v>
      </c>
      <c r="L78" s="15">
        <f t="shared" ref="L78" si="25">SUM(L58:L76)</f>
        <v>31639.040000000001</v>
      </c>
      <c r="M78" s="15">
        <f t="shared" ref="M78:S78" si="26">SUM(M58:M76)</f>
        <v>31639.040000000001</v>
      </c>
      <c r="N78" s="15">
        <f t="shared" ref="N78" si="27">SUM(N58:N76)</f>
        <v>31639.040000000001</v>
      </c>
      <c r="O78" s="15">
        <f t="shared" si="26"/>
        <v>244672</v>
      </c>
      <c r="P78" s="15">
        <f t="shared" si="26"/>
        <v>1500</v>
      </c>
      <c r="Q78" s="15">
        <f t="shared" si="26"/>
        <v>500</v>
      </c>
      <c r="R78" s="15">
        <f t="shared" si="26"/>
        <v>8500</v>
      </c>
      <c r="S78" s="15">
        <f t="shared" si="26"/>
        <v>102500</v>
      </c>
      <c r="T78"/>
      <c r="U78"/>
      <c r="V78" s="44"/>
      <c r="W78"/>
      <c r="X78"/>
      <c r="Y78"/>
      <c r="Z78" s="6"/>
      <c r="AA78" s="7">
        <f>SUM(AA68:AA76)</f>
        <v>4577.51</v>
      </c>
      <c r="AB78" s="6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ht="12.5" x14ac:dyDescent="0.25">
      <c r="A79" s="65"/>
      <c r="B79" s="66"/>
      <c r="C79" s="59"/>
      <c r="D79" s="59"/>
      <c r="E79" s="69"/>
      <c r="F79" s="69"/>
      <c r="G79" s="69"/>
      <c r="H79" s="69"/>
      <c r="I79" s="69"/>
      <c r="J79" s="69"/>
      <c r="K79" s="70"/>
      <c r="L79" s="15"/>
      <c r="M79" s="15"/>
      <c r="N79" s="15"/>
      <c r="O79" s="15"/>
      <c r="P79" s="15"/>
      <c r="Q79" s="15"/>
      <c r="R79" s="15"/>
      <c r="S79" s="15"/>
      <c r="T79"/>
      <c r="U79"/>
      <c r="V79" s="44"/>
      <c r="W79"/>
      <c r="X79"/>
      <c r="Y79"/>
      <c r="Z79" s="6"/>
      <c r="AA79" s="5">
        <v>8310.52</v>
      </c>
      <c r="AB79" s="6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ht="12.5" x14ac:dyDescent="0.25">
      <c r="A80" s="65" t="s">
        <v>64</v>
      </c>
      <c r="B80" s="66"/>
      <c r="C80" s="59"/>
      <c r="D80" s="59"/>
      <c r="E80" s="69"/>
      <c r="F80" s="69"/>
      <c r="G80" s="69"/>
      <c r="H80" s="69"/>
      <c r="I80" s="69"/>
      <c r="J80" s="69"/>
      <c r="K80" s="70"/>
      <c r="L80" s="15"/>
      <c r="M80" s="15"/>
      <c r="N80" s="15"/>
      <c r="O80" s="15"/>
      <c r="P80" s="15"/>
      <c r="Q80" s="15"/>
      <c r="R80" s="15"/>
      <c r="S80" s="15"/>
      <c r="T80"/>
      <c r="U80"/>
      <c r="V80" s="44"/>
      <c r="W80"/>
      <c r="X80"/>
      <c r="Y80"/>
      <c r="Z80" s="6"/>
      <c r="AA80" s="5">
        <v>894.85</v>
      </c>
      <c r="AB80" s="6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ht="12.5" x14ac:dyDescent="0.25">
      <c r="A81" s="65"/>
      <c r="B81" s="66"/>
      <c r="C81" s="59"/>
      <c r="D81" s="59"/>
      <c r="E81" s="69"/>
      <c r="F81" s="69"/>
      <c r="G81" s="69"/>
      <c r="H81" s="69"/>
      <c r="I81" s="69"/>
      <c r="J81" s="69"/>
      <c r="K81" s="70"/>
      <c r="L81" s="15"/>
      <c r="M81" s="15"/>
      <c r="N81" s="15"/>
      <c r="O81" s="15"/>
      <c r="P81" s="15"/>
      <c r="Q81" s="15"/>
      <c r="R81" s="15"/>
      <c r="S81" s="15"/>
      <c r="T81"/>
      <c r="U81"/>
      <c r="V81" s="44"/>
      <c r="W81"/>
      <c r="X81"/>
      <c r="Y81"/>
      <c r="Z81" s="6"/>
      <c r="AA81" s="5">
        <v>256.83</v>
      </c>
      <c r="AB81" s="6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ht="12.5" x14ac:dyDescent="0.25">
      <c r="A82" s="65" t="s">
        <v>65</v>
      </c>
      <c r="B82" s="66" t="s">
        <v>171</v>
      </c>
      <c r="C82" s="59">
        <v>15000</v>
      </c>
      <c r="D82" s="59">
        <v>12500</v>
      </c>
      <c r="E82" s="69">
        <v>12500</v>
      </c>
      <c r="F82" s="69">
        <v>11999</v>
      </c>
      <c r="G82" s="69">
        <v>12500</v>
      </c>
      <c r="H82" s="69">
        <v>12000</v>
      </c>
      <c r="I82" s="69">
        <f>1000*12</f>
        <v>12000</v>
      </c>
      <c r="J82" s="69">
        <f>1000*12</f>
        <v>12000</v>
      </c>
      <c r="K82" s="70">
        <v>12000</v>
      </c>
      <c r="L82" s="54">
        <v>12000</v>
      </c>
      <c r="M82" s="34">
        <v>12000</v>
      </c>
      <c r="N82" s="34">
        <v>12000</v>
      </c>
      <c r="O82" s="34">
        <v>12000</v>
      </c>
      <c r="P82" s="34">
        <v>12000</v>
      </c>
      <c r="Q82" s="34">
        <v>12000</v>
      </c>
      <c r="R82" s="34">
        <v>12000</v>
      </c>
      <c r="S82" s="35">
        <v>12000</v>
      </c>
      <c r="T82"/>
      <c r="U82"/>
      <c r="V82" s="44"/>
      <c r="W82"/>
      <c r="X82"/>
      <c r="Y82"/>
      <c r="Z82" s="6"/>
      <c r="AA82" s="5">
        <v>1049.67</v>
      </c>
      <c r="AB82" s="6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ht="13" thickBot="1" x14ac:dyDescent="0.3">
      <c r="A83" s="65" t="s">
        <v>66</v>
      </c>
      <c r="B83" s="66" t="s">
        <v>72</v>
      </c>
      <c r="C83" s="59">
        <v>0</v>
      </c>
      <c r="D83" s="5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70">
        <v>1000</v>
      </c>
      <c r="L83" s="55">
        <v>1500</v>
      </c>
      <c r="M83" s="36">
        <v>1500</v>
      </c>
      <c r="N83" s="36">
        <v>1500</v>
      </c>
      <c r="O83" s="36">
        <v>1500</v>
      </c>
      <c r="P83" s="36">
        <v>1000</v>
      </c>
      <c r="Q83" s="36">
        <v>500</v>
      </c>
      <c r="R83" s="36">
        <v>500</v>
      </c>
      <c r="S83" s="37">
        <v>0</v>
      </c>
      <c r="T83"/>
      <c r="U83"/>
      <c r="V83" s="44"/>
      <c r="W83"/>
      <c r="X83"/>
      <c r="Y83"/>
      <c r="Z83" s="6"/>
      <c r="AA83" s="9">
        <v>2201.2399999999998</v>
      </c>
      <c r="AB83" s="6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ht="12.5" x14ac:dyDescent="0.25">
      <c r="A84" s="65" t="s">
        <v>67</v>
      </c>
      <c r="B84" s="66" t="s">
        <v>73</v>
      </c>
      <c r="C84" s="59">
        <v>1500</v>
      </c>
      <c r="D84" s="59">
        <v>1500</v>
      </c>
      <c r="E84" s="69">
        <v>1500</v>
      </c>
      <c r="F84" s="69">
        <v>0</v>
      </c>
      <c r="G84" s="69">
        <v>1500</v>
      </c>
      <c r="H84" s="69">
        <v>1500</v>
      </c>
      <c r="I84" s="69">
        <v>1000</v>
      </c>
      <c r="J84" s="69">
        <v>1500</v>
      </c>
      <c r="K84" s="70">
        <v>500</v>
      </c>
      <c r="L84" s="55">
        <v>500</v>
      </c>
      <c r="M84" s="36">
        <v>500</v>
      </c>
      <c r="N84" s="36">
        <v>500</v>
      </c>
      <c r="O84" s="36">
        <v>750</v>
      </c>
      <c r="P84" s="36">
        <v>500</v>
      </c>
      <c r="Q84" s="36">
        <v>750</v>
      </c>
      <c r="R84" s="36">
        <v>1000</v>
      </c>
      <c r="S84" s="37">
        <v>2000</v>
      </c>
      <c r="T84"/>
      <c r="U84"/>
      <c r="V84" s="44"/>
      <c r="W84"/>
      <c r="X84"/>
      <c r="Y84"/>
      <c r="Z84" s="6"/>
      <c r="AA84" s="7">
        <f>SUM(AA78:AA83)</f>
        <v>17290.620000000003</v>
      </c>
      <c r="AB84" s="6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ht="12.5" x14ac:dyDescent="0.25">
      <c r="A85" s="65" t="s">
        <v>68</v>
      </c>
      <c r="B85" s="66" t="s">
        <v>74</v>
      </c>
      <c r="C85" s="59">
        <v>6500</v>
      </c>
      <c r="D85" s="59">
        <v>7500</v>
      </c>
      <c r="E85" s="69">
        <v>6000</v>
      </c>
      <c r="F85" s="69">
        <v>7435</v>
      </c>
      <c r="G85" s="69">
        <v>4500</v>
      </c>
      <c r="H85" s="69">
        <v>5000</v>
      </c>
      <c r="I85" s="69">
        <v>4100</v>
      </c>
      <c r="J85" s="69">
        <v>4100</v>
      </c>
      <c r="K85" s="70">
        <v>3500</v>
      </c>
      <c r="L85" s="55">
        <v>4500</v>
      </c>
      <c r="M85" s="36">
        <v>3257</v>
      </c>
      <c r="N85" s="36">
        <v>3286</v>
      </c>
      <c r="O85" s="36">
        <v>2700</v>
      </c>
      <c r="P85" s="36">
        <v>2500</v>
      </c>
      <c r="Q85" s="36">
        <v>1500</v>
      </c>
      <c r="R85" s="36">
        <v>1800</v>
      </c>
      <c r="S85" s="37">
        <v>1800</v>
      </c>
      <c r="T85"/>
      <c r="U85"/>
      <c r="V85" s="44"/>
      <c r="W85"/>
      <c r="X85"/>
      <c r="Y85"/>
      <c r="Z85" s="6"/>
      <c r="AA85" s="5"/>
      <c r="AB85" s="6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ht="12.5" x14ac:dyDescent="0.25">
      <c r="A86" s="65" t="s">
        <v>69</v>
      </c>
      <c r="B86" s="66" t="s">
        <v>75</v>
      </c>
      <c r="C86" s="59">
        <v>5000</v>
      </c>
      <c r="D86" s="59">
        <v>5000</v>
      </c>
      <c r="E86" s="69">
        <v>5000</v>
      </c>
      <c r="F86" s="69">
        <v>7470</v>
      </c>
      <c r="G86" s="69">
        <v>5000</v>
      </c>
      <c r="H86" s="69">
        <v>5000</v>
      </c>
      <c r="I86" s="69">
        <v>2500</v>
      </c>
      <c r="J86" s="69">
        <v>2500</v>
      </c>
      <c r="K86" s="70">
        <v>2500</v>
      </c>
      <c r="L86" s="55">
        <v>2000</v>
      </c>
      <c r="M86" s="36">
        <v>2000</v>
      </c>
      <c r="N86" s="36">
        <v>1506</v>
      </c>
      <c r="O86" s="36">
        <v>2500</v>
      </c>
      <c r="P86" s="36">
        <v>1500</v>
      </c>
      <c r="Q86" s="36">
        <v>3500</v>
      </c>
      <c r="R86" s="36">
        <v>3500</v>
      </c>
      <c r="S86" s="37">
        <v>0</v>
      </c>
      <c r="T86"/>
      <c r="U86"/>
      <c r="V86" s="44"/>
      <c r="W86"/>
      <c r="X86"/>
      <c r="Y86"/>
      <c r="Z86" s="6"/>
      <c r="AA86" s="5"/>
      <c r="AB86" s="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ht="12.5" x14ac:dyDescent="0.25">
      <c r="A87" s="65" t="s">
        <v>70</v>
      </c>
      <c r="B87" s="66" t="s">
        <v>76</v>
      </c>
      <c r="C87" s="59">
        <v>500</v>
      </c>
      <c r="D87" s="59">
        <v>500</v>
      </c>
      <c r="E87" s="69">
        <v>500</v>
      </c>
      <c r="F87" s="69">
        <v>0</v>
      </c>
      <c r="G87" s="69">
        <v>500</v>
      </c>
      <c r="H87" s="69">
        <v>500</v>
      </c>
      <c r="I87" s="69">
        <v>300</v>
      </c>
      <c r="J87" s="69">
        <v>300</v>
      </c>
      <c r="K87" s="70">
        <v>300</v>
      </c>
      <c r="L87" s="55">
        <v>300</v>
      </c>
      <c r="M87" s="36">
        <v>300</v>
      </c>
      <c r="N87" s="36">
        <v>300</v>
      </c>
      <c r="O87" s="36">
        <v>900</v>
      </c>
      <c r="P87" s="36">
        <v>800</v>
      </c>
      <c r="Q87" s="36">
        <v>500</v>
      </c>
      <c r="R87" s="36">
        <v>1500</v>
      </c>
      <c r="S87" s="37">
        <v>2100</v>
      </c>
      <c r="T87"/>
      <c r="U87"/>
      <c r="V87" s="44"/>
      <c r="W87"/>
      <c r="X87"/>
      <c r="Y87"/>
      <c r="Z87" s="6"/>
      <c r="AA87" s="5">
        <v>5979</v>
      </c>
      <c r="AB87" s="6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ht="13" thickBot="1" x14ac:dyDescent="0.3">
      <c r="A88" s="65" t="s">
        <v>71</v>
      </c>
      <c r="B88" s="66" t="s">
        <v>77</v>
      </c>
      <c r="C88" s="59">
        <v>300</v>
      </c>
      <c r="D88" s="59">
        <v>300</v>
      </c>
      <c r="E88" s="69">
        <v>300</v>
      </c>
      <c r="F88" s="69">
        <v>446</v>
      </c>
      <c r="G88" s="69">
        <v>300</v>
      </c>
      <c r="H88" s="69">
        <v>300</v>
      </c>
      <c r="I88" s="69">
        <v>300</v>
      </c>
      <c r="J88" s="69">
        <v>300</v>
      </c>
      <c r="K88" s="70">
        <v>0</v>
      </c>
      <c r="L88" s="56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9">
        <v>0</v>
      </c>
      <c r="T88"/>
      <c r="U88"/>
      <c r="V88" s="44"/>
      <c r="W88"/>
      <c r="X88"/>
      <c r="Y88"/>
      <c r="Z88" s="6"/>
      <c r="AA88" s="5"/>
      <c r="AB88" s="6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ht="13" thickTop="1" x14ac:dyDescent="0.25">
      <c r="A89" s="65"/>
      <c r="B89" s="66"/>
      <c r="C89" s="59"/>
      <c r="D89" s="59"/>
      <c r="E89" s="69"/>
      <c r="F89" s="69"/>
      <c r="G89" s="69"/>
      <c r="H89" s="69"/>
      <c r="I89" s="69"/>
      <c r="J89" s="69"/>
      <c r="K89" s="70"/>
      <c r="L89" s="15"/>
      <c r="M89" s="15"/>
      <c r="N89" s="15"/>
      <c r="O89" s="15"/>
      <c r="P89" s="15"/>
      <c r="Q89" s="15"/>
      <c r="R89" s="15"/>
      <c r="S89" s="15"/>
      <c r="T89"/>
      <c r="U89"/>
      <c r="V89" s="44"/>
      <c r="W89"/>
      <c r="X89"/>
      <c r="Y89"/>
      <c r="Z89" s="6"/>
      <c r="AA89" s="5">
        <v>19806.54</v>
      </c>
      <c r="AB89" s="6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ht="12.5" x14ac:dyDescent="0.25">
      <c r="A90" s="65"/>
      <c r="B90" s="66" t="s">
        <v>78</v>
      </c>
      <c r="C90" s="59">
        <f t="shared" ref="C90" si="28">SUM(C82:C89)</f>
        <v>28800</v>
      </c>
      <c r="D90" s="59">
        <f t="shared" ref="D90:E90" si="29">SUM(D82:D89)</f>
        <v>27300</v>
      </c>
      <c r="E90" s="69">
        <f t="shared" si="29"/>
        <v>25800</v>
      </c>
      <c r="F90" s="69">
        <f>SUM(F82:F88)</f>
        <v>27350</v>
      </c>
      <c r="G90" s="69">
        <f t="shared" ref="G90:H90" si="30">SUM(G82:G89)</f>
        <v>24300</v>
      </c>
      <c r="H90" s="69">
        <f t="shared" si="30"/>
        <v>24300</v>
      </c>
      <c r="I90" s="69">
        <f t="shared" ref="I90:J90" si="31">SUM(I82:I89)</f>
        <v>20200</v>
      </c>
      <c r="J90" s="69">
        <f t="shared" si="31"/>
        <v>20700</v>
      </c>
      <c r="K90" s="70">
        <f t="shared" ref="K90" si="32">SUM(K82:K89)</f>
        <v>19800</v>
      </c>
      <c r="L90" s="15">
        <f t="shared" ref="L90" si="33">SUM(L82:L89)</f>
        <v>20800</v>
      </c>
      <c r="M90" s="15">
        <f t="shared" ref="M90:S90" si="34">SUM(M82:M89)</f>
        <v>19557</v>
      </c>
      <c r="N90" s="15">
        <f t="shared" ref="N90" si="35">SUM(N82:N89)</f>
        <v>19092</v>
      </c>
      <c r="O90" s="15">
        <f t="shared" si="34"/>
        <v>20350</v>
      </c>
      <c r="P90" s="15">
        <f t="shared" si="34"/>
        <v>18300</v>
      </c>
      <c r="Q90" s="15">
        <f t="shared" si="34"/>
        <v>18750</v>
      </c>
      <c r="R90" s="15">
        <f t="shared" si="34"/>
        <v>20300</v>
      </c>
      <c r="S90" s="15">
        <f t="shared" si="34"/>
        <v>17900</v>
      </c>
      <c r="T90"/>
      <c r="U90"/>
      <c r="V90" s="44"/>
      <c r="W90"/>
      <c r="X90"/>
      <c r="Y90"/>
      <c r="Z90" s="6"/>
      <c r="AA90" s="5"/>
      <c r="AB90" s="6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ht="13" thickBot="1" x14ac:dyDescent="0.3">
      <c r="A91" s="65"/>
      <c r="B91" s="71"/>
      <c r="C91" s="59"/>
      <c r="D91" s="59"/>
      <c r="E91" s="69"/>
      <c r="F91" s="69"/>
      <c r="G91" s="69"/>
      <c r="H91" s="69"/>
      <c r="I91" s="69"/>
      <c r="J91" s="69"/>
      <c r="K91" s="70"/>
      <c r="L91" s="15"/>
      <c r="M91" s="15"/>
      <c r="N91" s="15"/>
      <c r="O91" s="15"/>
      <c r="P91" s="15"/>
      <c r="Q91" s="15"/>
      <c r="R91" s="15"/>
      <c r="S91" s="15"/>
      <c r="T91"/>
      <c r="U91"/>
      <c r="V91" s="44"/>
      <c r="W91"/>
      <c r="X91"/>
      <c r="Y91"/>
      <c r="Z91" s="6"/>
      <c r="AA91" s="9">
        <v>8114.59</v>
      </c>
      <c r="AB91" s="6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ht="12.5" x14ac:dyDescent="0.25">
      <c r="A92" s="65" t="s">
        <v>61</v>
      </c>
      <c r="B92" s="66"/>
      <c r="C92" s="59"/>
      <c r="D92" s="59"/>
      <c r="E92" s="69"/>
      <c r="F92" s="69"/>
      <c r="G92" s="69"/>
      <c r="H92" s="69"/>
      <c r="I92" s="69"/>
      <c r="J92" s="69"/>
      <c r="K92" s="70"/>
      <c r="L92" s="15"/>
      <c r="M92" s="15"/>
      <c r="N92" s="15"/>
      <c r="O92" s="15"/>
      <c r="P92" s="15"/>
      <c r="Q92" s="15"/>
      <c r="R92" s="15"/>
      <c r="S92" s="15"/>
      <c r="T92"/>
      <c r="U92"/>
      <c r="V92" s="44"/>
      <c r="W92"/>
      <c r="X92"/>
      <c r="Y92"/>
      <c r="Z92" s="6"/>
      <c r="AA92" s="5">
        <v>-7121.34</v>
      </c>
      <c r="AB92" s="6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ht="13" thickBot="1" x14ac:dyDescent="0.3">
      <c r="A93" s="65"/>
      <c r="B93" s="66"/>
      <c r="C93" s="59"/>
      <c r="D93" s="59"/>
      <c r="E93" s="69"/>
      <c r="F93" s="69"/>
      <c r="G93" s="69"/>
      <c r="H93" s="69"/>
      <c r="I93" s="69"/>
      <c r="J93" s="69"/>
      <c r="K93" s="70"/>
      <c r="L93" s="15"/>
      <c r="M93" s="15"/>
      <c r="N93" s="15"/>
      <c r="O93" s="15"/>
      <c r="P93" s="15"/>
      <c r="Q93" s="15"/>
      <c r="R93" s="15"/>
      <c r="S93" s="15"/>
      <c r="T93"/>
      <c r="U93"/>
      <c r="V93" s="44"/>
      <c r="W93"/>
      <c r="X93"/>
      <c r="Y93"/>
      <c r="Z93" s="6"/>
      <c r="AA93" s="10">
        <f>SUM(AA89:AA92)</f>
        <v>20799.79</v>
      </c>
      <c r="AB93" s="6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ht="12.5" x14ac:dyDescent="0.25">
      <c r="A94" s="65" t="s">
        <v>63</v>
      </c>
      <c r="B94" s="66" t="s">
        <v>156</v>
      </c>
      <c r="C94" s="59">
        <v>12760</v>
      </c>
      <c r="D94" s="59">
        <v>11600</v>
      </c>
      <c r="E94" s="69">
        <v>11600</v>
      </c>
      <c r="F94" s="69">
        <v>6468</v>
      </c>
      <c r="G94" s="69">
        <f>10815*1.050023</f>
        <v>11355.998744999999</v>
      </c>
      <c r="H94" s="69">
        <f>10300*1.05</f>
        <v>10815</v>
      </c>
      <c r="I94" s="69">
        <v>9950</v>
      </c>
      <c r="J94" s="69">
        <v>8500</v>
      </c>
      <c r="K94" s="70">
        <v>8130</v>
      </c>
      <c r="L94" s="54">
        <v>7590</v>
      </c>
      <c r="M94" s="34">
        <f>375*18+1200</f>
        <v>7950</v>
      </c>
      <c r="N94" s="34">
        <f>265*19.5</f>
        <v>5167.5</v>
      </c>
      <c r="O94" s="34">
        <f>375*18.75</f>
        <v>7031.25</v>
      </c>
      <c r="P94" s="34">
        <f>375*17.85</f>
        <v>6693.7500000000009</v>
      </c>
      <c r="Q94" s="34">
        <v>6800</v>
      </c>
      <c r="R94" s="34">
        <v>6800</v>
      </c>
      <c r="S94" s="35">
        <v>6500</v>
      </c>
      <c r="T94"/>
      <c r="U94"/>
      <c r="V94" s="44"/>
      <c r="W94"/>
      <c r="X94"/>
      <c r="Y94"/>
      <c r="Z94" s="6"/>
      <c r="AA94" s="7">
        <f>SUM(AA87,AA93)</f>
        <v>26778.79</v>
      </c>
      <c r="AB94" s="6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ht="12.5" x14ac:dyDescent="0.25">
      <c r="A95" s="65" t="s">
        <v>79</v>
      </c>
      <c r="B95" s="66" t="s">
        <v>157</v>
      </c>
      <c r="C95" s="59">
        <v>29000</v>
      </c>
      <c r="D95" s="59">
        <v>27500</v>
      </c>
      <c r="E95" s="69">
        <v>27500</v>
      </c>
      <c r="F95" s="69">
        <v>12222</v>
      </c>
      <c r="G95" s="69">
        <v>26000</v>
      </c>
      <c r="H95" s="69">
        <f>24500*1.05</f>
        <v>25725</v>
      </c>
      <c r="I95" s="69">
        <v>22500</v>
      </c>
      <c r="J95" s="69">
        <v>23000</v>
      </c>
      <c r="K95" s="70">
        <v>23300</v>
      </c>
      <c r="L95" s="55">
        <v>23300</v>
      </c>
      <c r="M95" s="36">
        <f>2100*11</f>
        <v>23100</v>
      </c>
      <c r="N95" s="36">
        <f>1900*12.5</f>
        <v>23750</v>
      </c>
      <c r="O95" s="36">
        <f>2400*11.25</f>
        <v>27000</v>
      </c>
      <c r="P95" s="36">
        <f>2400*10.5</f>
        <v>25200</v>
      </c>
      <c r="Q95" s="36">
        <v>25000</v>
      </c>
      <c r="R95" s="36">
        <v>23125</v>
      </c>
      <c r="S95" s="37">
        <v>17900</v>
      </c>
      <c r="T95"/>
      <c r="U95"/>
      <c r="V95" s="44"/>
      <c r="W95"/>
      <c r="X95"/>
      <c r="Y95"/>
      <c r="Z95" s="6"/>
      <c r="AA95" s="5">
        <v>4809.01</v>
      </c>
      <c r="AB95" s="6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ht="12.5" x14ac:dyDescent="0.25">
      <c r="A96" s="65" t="s">
        <v>80</v>
      </c>
      <c r="B96" s="66" t="s">
        <v>158</v>
      </c>
      <c r="C96" s="59">
        <v>3400</v>
      </c>
      <c r="D96" s="59">
        <v>2600</v>
      </c>
      <c r="E96" s="69">
        <v>3750</v>
      </c>
      <c r="F96" s="69">
        <v>0</v>
      </c>
      <c r="G96" s="69">
        <v>3500</v>
      </c>
      <c r="H96" s="69">
        <f>3000*1.05</f>
        <v>3150</v>
      </c>
      <c r="I96" s="69">
        <v>2600</v>
      </c>
      <c r="J96" s="69">
        <v>1800</v>
      </c>
      <c r="K96" s="70">
        <v>1500</v>
      </c>
      <c r="L96" s="55">
        <v>2900</v>
      </c>
      <c r="M96" s="36">
        <f>260*12</f>
        <v>3120</v>
      </c>
      <c r="N96" s="36">
        <f>300*12.5</f>
        <v>3750</v>
      </c>
      <c r="O96" s="36">
        <f>300*11.25</f>
        <v>3375</v>
      </c>
      <c r="P96" s="36">
        <f>300*10.5</f>
        <v>3150</v>
      </c>
      <c r="Q96" s="36">
        <v>3000</v>
      </c>
      <c r="R96" s="36">
        <v>3800</v>
      </c>
      <c r="S96" s="37">
        <v>2000</v>
      </c>
      <c r="T96"/>
      <c r="U96"/>
      <c r="V96" s="44"/>
      <c r="W96"/>
      <c r="X96"/>
      <c r="Y96"/>
      <c r="Z96" s="6"/>
      <c r="AA96" s="5">
        <v>1598.08</v>
      </c>
      <c r="AB96" s="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ht="13" thickBot="1" x14ac:dyDescent="0.3">
      <c r="A97" s="65" t="s">
        <v>81</v>
      </c>
      <c r="B97" s="66" t="s">
        <v>159</v>
      </c>
      <c r="C97" s="59">
        <v>2000</v>
      </c>
      <c r="D97" s="59">
        <v>1500</v>
      </c>
      <c r="E97" s="69">
        <v>1500</v>
      </c>
      <c r="F97" s="69">
        <v>1290</v>
      </c>
      <c r="G97" s="69">
        <v>1000</v>
      </c>
      <c r="H97" s="69">
        <f>1900*1.05</f>
        <v>1995</v>
      </c>
      <c r="I97" s="69">
        <v>1000</v>
      </c>
      <c r="J97" s="69">
        <v>1000</v>
      </c>
      <c r="K97" s="70">
        <f>50*12</f>
        <v>600</v>
      </c>
      <c r="L97" s="56">
        <f>50*12</f>
        <v>600</v>
      </c>
      <c r="M97" s="38">
        <f>50*12</f>
        <v>600</v>
      </c>
      <c r="N97" s="38">
        <f>48*12.5</f>
        <v>600</v>
      </c>
      <c r="O97" s="38">
        <f>100*11.25</f>
        <v>1125</v>
      </c>
      <c r="P97" s="38">
        <f>100*10.5</f>
        <v>1050</v>
      </c>
      <c r="Q97" s="38">
        <v>1000</v>
      </c>
      <c r="R97" s="38">
        <v>7622</v>
      </c>
      <c r="S97" s="39">
        <v>8000</v>
      </c>
      <c r="T97"/>
      <c r="U97"/>
      <c r="V97" s="44"/>
      <c r="W97"/>
      <c r="X97"/>
      <c r="Y97"/>
      <c r="Z97" s="6"/>
      <c r="AA97" s="5">
        <v>1162.3599999999999</v>
      </c>
      <c r="AB97" s="6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ht="13" thickTop="1" x14ac:dyDescent="0.25">
      <c r="A98" s="65"/>
      <c r="B98" s="66"/>
      <c r="C98" s="59"/>
      <c r="D98" s="59"/>
      <c r="E98" s="69"/>
      <c r="F98" s="69"/>
      <c r="G98" s="69"/>
      <c r="H98" s="69"/>
      <c r="I98" s="69"/>
      <c r="J98" s="69"/>
      <c r="K98" s="70"/>
      <c r="L98" s="15"/>
      <c r="M98" s="15"/>
      <c r="N98" s="15"/>
      <c r="O98" s="15"/>
      <c r="P98" s="15"/>
      <c r="Q98" s="15"/>
      <c r="R98" s="15"/>
      <c r="S98" s="15"/>
      <c r="T98"/>
      <c r="U98"/>
      <c r="V98" s="44"/>
      <c r="W98"/>
      <c r="X98"/>
      <c r="Y98"/>
      <c r="Z98" s="6"/>
      <c r="AA98" s="5">
        <v>5529.23</v>
      </c>
      <c r="AB98" s="6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ht="12.5" x14ac:dyDescent="0.25">
      <c r="A99" s="65"/>
      <c r="B99" s="66" t="s">
        <v>82</v>
      </c>
      <c r="C99" s="59">
        <f t="shared" ref="C99" si="36">SUM(C94:C98)</f>
        <v>47160</v>
      </c>
      <c r="D99" s="59">
        <f t="shared" ref="D99:E99" si="37">SUM(D94:D98)</f>
        <v>43200</v>
      </c>
      <c r="E99" s="69">
        <f t="shared" si="37"/>
        <v>44350</v>
      </c>
      <c r="F99" s="69">
        <f>SUM(F94:F97)</f>
        <v>19980</v>
      </c>
      <c r="G99" s="69">
        <f t="shared" ref="G99:H99" si="38">SUM(G94:G98)</f>
        <v>41855.998744999997</v>
      </c>
      <c r="H99" s="69">
        <f t="shared" si="38"/>
        <v>41685</v>
      </c>
      <c r="I99" s="69">
        <f t="shared" ref="I99:J99" si="39">SUM(I94:I98)</f>
        <v>36050</v>
      </c>
      <c r="J99" s="69">
        <f t="shared" si="39"/>
        <v>34300</v>
      </c>
      <c r="K99" s="70">
        <f t="shared" ref="K99" si="40">SUM(K94:K98)</f>
        <v>33530</v>
      </c>
      <c r="L99" s="15">
        <f t="shared" ref="L99" si="41">SUM(L94:L98)</f>
        <v>34390</v>
      </c>
      <c r="M99" s="15">
        <f t="shared" ref="M99:S99" si="42">SUM(M94:M98)</f>
        <v>34770</v>
      </c>
      <c r="N99" s="15">
        <f t="shared" ref="N99" si="43">SUM(N94:N98)</f>
        <v>33267.5</v>
      </c>
      <c r="O99" s="15">
        <f t="shared" si="42"/>
        <v>38531.25</v>
      </c>
      <c r="P99" s="15">
        <f t="shared" si="42"/>
        <v>36093.75</v>
      </c>
      <c r="Q99" s="15">
        <f t="shared" si="42"/>
        <v>35800</v>
      </c>
      <c r="R99" s="15">
        <f t="shared" si="42"/>
        <v>41347</v>
      </c>
      <c r="S99" s="15">
        <f t="shared" si="42"/>
        <v>34400</v>
      </c>
      <c r="T99"/>
      <c r="U99"/>
      <c r="V99" s="44"/>
      <c r="W99"/>
      <c r="X99"/>
      <c r="Y99"/>
      <c r="Z99" s="6"/>
      <c r="AA99" s="5">
        <v>93.73</v>
      </c>
      <c r="AB99" s="6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ht="12.5" x14ac:dyDescent="0.25">
      <c r="A100" s="65"/>
      <c r="B100" s="66"/>
      <c r="C100" s="59"/>
      <c r="D100" s="59"/>
      <c r="E100" s="69"/>
      <c r="F100" s="69"/>
      <c r="G100" s="69"/>
      <c r="H100" s="69"/>
      <c r="I100" s="69"/>
      <c r="J100" s="69"/>
      <c r="K100" s="70"/>
      <c r="L100" s="15"/>
      <c r="M100" s="15"/>
      <c r="N100" s="15"/>
      <c r="O100" s="15"/>
      <c r="P100" s="15"/>
      <c r="Q100" s="15"/>
      <c r="R100" s="15"/>
      <c r="S100" s="15"/>
      <c r="T100"/>
      <c r="U100"/>
      <c r="V100" s="44"/>
      <c r="W100"/>
      <c r="X100"/>
      <c r="Y100"/>
      <c r="Z100" s="6"/>
      <c r="AA100" s="5">
        <v>706</v>
      </c>
      <c r="AB100" s="6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ht="12.5" x14ac:dyDescent="0.25">
      <c r="A101" s="65" t="s">
        <v>83</v>
      </c>
      <c r="B101" s="66"/>
      <c r="C101" s="59"/>
      <c r="D101" s="59"/>
      <c r="E101" s="69"/>
      <c r="F101" s="69"/>
      <c r="G101" s="69"/>
      <c r="H101" s="69"/>
      <c r="I101" s="69"/>
      <c r="J101" s="69"/>
      <c r="K101" s="70"/>
      <c r="L101" s="15"/>
      <c r="M101" s="15"/>
      <c r="N101" s="15"/>
      <c r="O101" s="15"/>
      <c r="P101" s="15"/>
      <c r="Q101" s="15"/>
      <c r="R101" s="15"/>
      <c r="S101" s="15"/>
      <c r="T101"/>
      <c r="U101"/>
      <c r="V101" s="44"/>
      <c r="W101"/>
      <c r="X101"/>
      <c r="Y101"/>
      <c r="Z101" s="6"/>
      <c r="AA101" s="5">
        <v>2261.6</v>
      </c>
      <c r="AB101" s="6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ht="13" thickBot="1" x14ac:dyDescent="0.3">
      <c r="A102" s="65"/>
      <c r="B102" s="66"/>
      <c r="C102" s="59"/>
      <c r="D102" s="59"/>
      <c r="E102" s="69"/>
      <c r="F102" s="69"/>
      <c r="G102" s="69"/>
      <c r="H102" s="69"/>
      <c r="I102" s="69"/>
      <c r="J102" s="69"/>
      <c r="K102" s="70"/>
      <c r="L102" s="15"/>
      <c r="M102" s="15"/>
      <c r="N102" s="15"/>
      <c r="O102" s="15"/>
      <c r="P102" s="15"/>
      <c r="Q102" s="15"/>
      <c r="R102" s="15"/>
      <c r="S102" s="15"/>
      <c r="T102"/>
      <c r="U102"/>
      <c r="V102" s="44"/>
      <c r="W102"/>
      <c r="X102"/>
      <c r="Y102"/>
      <c r="Z102" s="6"/>
      <c r="AA102" s="9">
        <v>1708.2</v>
      </c>
      <c r="AB102" s="6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ht="12.5" x14ac:dyDescent="0.25">
      <c r="A103" s="65" t="s">
        <v>84</v>
      </c>
      <c r="B103" s="66" t="s">
        <v>92</v>
      </c>
      <c r="C103" s="59">
        <v>4100</v>
      </c>
      <c r="D103" s="59">
        <v>4100</v>
      </c>
      <c r="E103" s="59">
        <v>4000</v>
      </c>
      <c r="F103" s="59">
        <v>4967</v>
      </c>
      <c r="G103" s="59">
        <v>4000</v>
      </c>
      <c r="H103" s="59">
        <v>3100</v>
      </c>
      <c r="I103" s="59">
        <v>3500</v>
      </c>
      <c r="J103" s="59">
        <v>5500</v>
      </c>
      <c r="K103" s="60">
        <v>4100</v>
      </c>
      <c r="L103" s="58">
        <v>3500</v>
      </c>
      <c r="M103" s="52">
        <v>1700</v>
      </c>
      <c r="N103" s="34">
        <v>2357</v>
      </c>
      <c r="O103" s="34">
        <v>2600</v>
      </c>
      <c r="P103" s="34">
        <v>2200</v>
      </c>
      <c r="Q103" s="34">
        <v>3000</v>
      </c>
      <c r="R103" s="34">
        <v>3000</v>
      </c>
      <c r="S103" s="35">
        <v>4000</v>
      </c>
      <c r="T103"/>
      <c r="U103"/>
      <c r="V103" s="44"/>
      <c r="W103"/>
      <c r="X103"/>
      <c r="Y103"/>
      <c r="Z103" s="6"/>
      <c r="AA103" s="7">
        <f>SUM(AA94:AA102)</f>
        <v>44647</v>
      </c>
      <c r="AB103" s="6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ht="12.5" x14ac:dyDescent="0.25">
      <c r="A104" s="65" t="s">
        <v>85</v>
      </c>
      <c r="B104" s="66" t="s">
        <v>93</v>
      </c>
      <c r="C104" s="59">
        <v>4900</v>
      </c>
      <c r="D104" s="59">
        <v>4500</v>
      </c>
      <c r="E104" s="59">
        <v>4500</v>
      </c>
      <c r="F104" s="59">
        <v>4204</v>
      </c>
      <c r="G104" s="59">
        <v>4500</v>
      </c>
      <c r="H104" s="59">
        <v>4500</v>
      </c>
      <c r="I104" s="59">
        <v>6700</v>
      </c>
      <c r="J104" s="59">
        <v>4700</v>
      </c>
      <c r="K104" s="60">
        <v>4700</v>
      </c>
      <c r="L104" s="57">
        <v>4600</v>
      </c>
      <c r="M104" s="53">
        <v>4500</v>
      </c>
      <c r="N104" s="36">
        <v>3405</v>
      </c>
      <c r="O104" s="36">
        <v>3800</v>
      </c>
      <c r="P104" s="36">
        <v>3800</v>
      </c>
      <c r="Q104" s="36">
        <v>2500</v>
      </c>
      <c r="R104" s="36">
        <v>2000</v>
      </c>
      <c r="S104" s="37">
        <v>2000</v>
      </c>
      <c r="T104"/>
      <c r="U104"/>
      <c r="V104" s="44"/>
      <c r="W104"/>
      <c r="X104"/>
      <c r="Y104"/>
      <c r="Z104" s="6"/>
      <c r="AA104" s="7"/>
      <c r="AB104" s="6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ht="12.5" x14ac:dyDescent="0.25">
      <c r="A105" s="65" t="s">
        <v>86</v>
      </c>
      <c r="B105" s="66" t="s">
        <v>94</v>
      </c>
      <c r="C105" s="59">
        <v>2900</v>
      </c>
      <c r="D105" s="59">
        <v>2500</v>
      </c>
      <c r="E105" s="59">
        <v>2500</v>
      </c>
      <c r="F105" s="59">
        <v>3271</v>
      </c>
      <c r="G105" s="59">
        <v>2500</v>
      </c>
      <c r="H105" s="59">
        <v>2000</v>
      </c>
      <c r="I105" s="59">
        <v>2000</v>
      </c>
      <c r="J105" s="59">
        <v>2000</v>
      </c>
      <c r="K105" s="60">
        <v>2300</v>
      </c>
      <c r="L105" s="57">
        <v>1500</v>
      </c>
      <c r="M105" s="53">
        <v>1500</v>
      </c>
      <c r="N105" s="36">
        <v>1500</v>
      </c>
      <c r="O105" s="36">
        <v>3500</v>
      </c>
      <c r="P105" s="36">
        <v>1500</v>
      </c>
      <c r="Q105" s="36">
        <v>900</v>
      </c>
      <c r="R105" s="36">
        <v>1700</v>
      </c>
      <c r="S105" s="37">
        <v>1700</v>
      </c>
      <c r="T105"/>
      <c r="U105"/>
      <c r="V105" s="44"/>
      <c r="W105"/>
      <c r="X105"/>
      <c r="Y105"/>
      <c r="Z105" s="6"/>
      <c r="AA105" s="7"/>
      <c r="AB105" s="6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ht="12.5" x14ac:dyDescent="0.25">
      <c r="A106" s="65" t="s">
        <v>87</v>
      </c>
      <c r="B106" s="66" t="s">
        <v>95</v>
      </c>
      <c r="C106" s="59">
        <v>3900</v>
      </c>
      <c r="D106" s="59">
        <v>4200</v>
      </c>
      <c r="E106" s="59">
        <v>5000</v>
      </c>
      <c r="F106" s="59">
        <v>3076</v>
      </c>
      <c r="G106" s="59">
        <v>3800</v>
      </c>
      <c r="H106" s="59">
        <v>4800</v>
      </c>
      <c r="I106" s="59">
        <v>6500</v>
      </c>
      <c r="J106" s="59">
        <v>7200</v>
      </c>
      <c r="K106" s="60">
        <v>6500</v>
      </c>
      <c r="L106" s="57">
        <v>8700</v>
      </c>
      <c r="M106" s="53">
        <v>8500</v>
      </c>
      <c r="N106" s="36">
        <v>7125</v>
      </c>
      <c r="O106" s="36">
        <v>7000</v>
      </c>
      <c r="P106" s="36">
        <v>12000</v>
      </c>
      <c r="Q106" s="36">
        <v>9500</v>
      </c>
      <c r="R106" s="36">
        <v>8000</v>
      </c>
      <c r="S106" s="37">
        <v>7000</v>
      </c>
      <c r="T106"/>
      <c r="U106"/>
      <c r="V106" s="44"/>
      <c r="W106"/>
      <c r="X106"/>
      <c r="Y106"/>
      <c r="Z106" s="6"/>
      <c r="AA106" s="7"/>
      <c r="AB106" s="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ht="12.5" x14ac:dyDescent="0.25">
      <c r="A107" s="65" t="s">
        <v>88</v>
      </c>
      <c r="B107" s="66" t="s">
        <v>96</v>
      </c>
      <c r="C107" s="59">
        <v>250</v>
      </c>
      <c r="D107" s="59">
        <v>250</v>
      </c>
      <c r="E107" s="59">
        <v>300</v>
      </c>
      <c r="F107" s="59">
        <v>108</v>
      </c>
      <c r="G107" s="59">
        <v>500</v>
      </c>
      <c r="H107" s="59">
        <v>500</v>
      </c>
      <c r="I107" s="59">
        <v>300</v>
      </c>
      <c r="J107" s="59">
        <v>300</v>
      </c>
      <c r="K107" s="60">
        <v>400</v>
      </c>
      <c r="L107" s="57">
        <v>400</v>
      </c>
      <c r="M107" s="53">
        <v>400</v>
      </c>
      <c r="N107" s="36">
        <v>481</v>
      </c>
      <c r="O107" s="36">
        <v>150</v>
      </c>
      <c r="P107" s="36">
        <v>150</v>
      </c>
      <c r="Q107" s="36">
        <v>150</v>
      </c>
      <c r="R107" s="36">
        <v>300</v>
      </c>
      <c r="S107" s="37">
        <v>200</v>
      </c>
      <c r="T107"/>
      <c r="U107"/>
      <c r="V107" s="44"/>
      <c r="W107"/>
      <c r="X107"/>
      <c r="Y107"/>
      <c r="Z107" s="6"/>
      <c r="AA107" s="7"/>
      <c r="AB107" s="6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ht="12.5" x14ac:dyDescent="0.25">
      <c r="A108" s="65" t="s">
        <v>89</v>
      </c>
      <c r="B108" s="66" t="s">
        <v>97</v>
      </c>
      <c r="C108" s="59">
        <v>1200</v>
      </c>
      <c r="D108" s="59">
        <v>1200</v>
      </c>
      <c r="E108" s="59">
        <v>1200</v>
      </c>
      <c r="F108" s="59">
        <v>0</v>
      </c>
      <c r="G108" s="59">
        <v>1200</v>
      </c>
      <c r="H108" s="59">
        <v>1200</v>
      </c>
      <c r="I108" s="59">
        <v>1200</v>
      </c>
      <c r="J108" s="59">
        <v>1200</v>
      </c>
      <c r="K108" s="60">
        <v>1200</v>
      </c>
      <c r="L108" s="57">
        <v>1250</v>
      </c>
      <c r="M108" s="53">
        <v>1250</v>
      </c>
      <c r="N108" s="36">
        <v>1044</v>
      </c>
      <c r="O108" s="36">
        <v>1200</v>
      </c>
      <c r="P108" s="36">
        <v>2100</v>
      </c>
      <c r="Q108" s="36">
        <v>750</v>
      </c>
      <c r="R108" s="36">
        <v>1000</v>
      </c>
      <c r="S108" s="37">
        <v>800</v>
      </c>
      <c r="T108"/>
      <c r="U108"/>
      <c r="V108" s="44"/>
      <c r="W108"/>
      <c r="X108"/>
      <c r="Y108"/>
      <c r="Z108" s="6"/>
      <c r="AA108" s="5">
        <v>29272.81</v>
      </c>
      <c r="AB108" s="6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ht="13" thickBot="1" x14ac:dyDescent="0.3">
      <c r="A109" s="73" t="s">
        <v>115</v>
      </c>
      <c r="B109" s="71" t="s">
        <v>98</v>
      </c>
      <c r="C109" s="59">
        <v>3000</v>
      </c>
      <c r="D109" s="59">
        <v>3000</v>
      </c>
      <c r="E109" s="59">
        <v>3000</v>
      </c>
      <c r="F109" s="59">
        <v>0</v>
      </c>
      <c r="G109" s="59">
        <v>4500</v>
      </c>
      <c r="H109" s="59">
        <v>4500</v>
      </c>
      <c r="I109" s="59">
        <v>3500</v>
      </c>
      <c r="J109" s="59">
        <v>2500</v>
      </c>
      <c r="K109" s="60">
        <v>2250</v>
      </c>
      <c r="L109" s="57">
        <v>2000</v>
      </c>
      <c r="M109" s="53">
        <v>2500</v>
      </c>
      <c r="N109" s="36">
        <v>2500</v>
      </c>
      <c r="O109" s="36">
        <v>3000</v>
      </c>
      <c r="P109" s="36">
        <v>3500</v>
      </c>
      <c r="Q109" s="36">
        <v>2000</v>
      </c>
      <c r="R109" s="36">
        <v>2000</v>
      </c>
      <c r="S109" s="37">
        <v>1000</v>
      </c>
      <c r="T109"/>
      <c r="U109"/>
      <c r="V109" s="44"/>
      <c r="W109"/>
      <c r="X109"/>
      <c r="Y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ht="13" thickBot="1" x14ac:dyDescent="0.3">
      <c r="A110" s="65" t="s">
        <v>90</v>
      </c>
      <c r="B110" s="71" t="s">
        <v>99</v>
      </c>
      <c r="C110" s="59">
        <v>2100</v>
      </c>
      <c r="D110" s="59">
        <v>2100</v>
      </c>
      <c r="E110" s="59">
        <v>2100</v>
      </c>
      <c r="F110" s="59">
        <v>2894</v>
      </c>
      <c r="G110" s="59">
        <v>2100</v>
      </c>
      <c r="H110" s="59">
        <v>1850</v>
      </c>
      <c r="I110" s="59">
        <v>1850</v>
      </c>
      <c r="J110" s="59">
        <v>1850</v>
      </c>
      <c r="K110" s="60">
        <v>1850</v>
      </c>
      <c r="L110" s="57">
        <v>1500</v>
      </c>
      <c r="M110" s="53">
        <v>1600</v>
      </c>
      <c r="N110" s="36">
        <v>2032</v>
      </c>
      <c r="O110" s="36">
        <v>2500</v>
      </c>
      <c r="P110" s="36">
        <v>2500</v>
      </c>
      <c r="Q110" s="36">
        <v>2000</v>
      </c>
      <c r="R110" s="36">
        <v>2000</v>
      </c>
      <c r="S110" s="37">
        <v>2000</v>
      </c>
      <c r="T110"/>
      <c r="U110"/>
      <c r="V110" s="44"/>
      <c r="W110"/>
      <c r="X110"/>
      <c r="Y110"/>
      <c r="Z110" s="6"/>
      <c r="AA110" s="11">
        <f>SUM(AA56,AA84,AA103:AA109)</f>
        <v>122311.12</v>
      </c>
      <c r="AB110" s="6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ht="13" thickBot="1" x14ac:dyDescent="0.3">
      <c r="A111" s="65" t="s">
        <v>91</v>
      </c>
      <c r="B111" s="71" t="s">
        <v>100</v>
      </c>
      <c r="C111" s="59">
        <v>300</v>
      </c>
      <c r="D111" s="59">
        <v>300</v>
      </c>
      <c r="E111" s="69">
        <v>300</v>
      </c>
      <c r="F111" s="69">
        <v>0</v>
      </c>
      <c r="G111" s="69">
        <v>300</v>
      </c>
      <c r="H111" s="69">
        <v>300</v>
      </c>
      <c r="I111" s="69">
        <v>300</v>
      </c>
      <c r="J111" s="69">
        <v>300</v>
      </c>
      <c r="K111" s="70">
        <v>300</v>
      </c>
      <c r="L111" s="56">
        <v>300</v>
      </c>
      <c r="M111" s="38">
        <v>300</v>
      </c>
      <c r="N111" s="38">
        <v>300</v>
      </c>
      <c r="O111" s="38">
        <v>300</v>
      </c>
      <c r="P111" s="38">
        <v>300</v>
      </c>
      <c r="Q111" s="38">
        <v>750</v>
      </c>
      <c r="R111" s="38">
        <v>0</v>
      </c>
      <c r="S111" s="39">
        <v>0</v>
      </c>
      <c r="T111"/>
      <c r="U111"/>
      <c r="V111" s="44"/>
      <c r="W111"/>
      <c r="X111"/>
      <c r="Y111"/>
      <c r="Z111" s="6"/>
      <c r="AA111" s="9"/>
      <c r="AB111" s="6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ht="13.5" thickTop="1" thickBot="1" x14ac:dyDescent="0.3">
      <c r="A112" s="65"/>
      <c r="B112" s="66"/>
      <c r="C112" s="59"/>
      <c r="D112" s="59"/>
      <c r="E112" s="69"/>
      <c r="F112" s="69"/>
      <c r="G112" s="69"/>
      <c r="H112" s="69"/>
      <c r="I112" s="69"/>
      <c r="J112" s="69"/>
      <c r="K112" s="70"/>
      <c r="L112" s="15"/>
      <c r="M112" s="15"/>
      <c r="N112" s="15"/>
      <c r="O112" s="15"/>
      <c r="P112" s="15"/>
      <c r="Q112" s="15"/>
      <c r="R112" s="15"/>
      <c r="S112" s="15"/>
      <c r="T112"/>
      <c r="U112"/>
      <c r="V112" s="44"/>
      <c r="W112"/>
      <c r="X112"/>
      <c r="Y112"/>
      <c r="Z112" s="1"/>
      <c r="AA112" s="12">
        <f>AA23-AA110</f>
        <v>0</v>
      </c>
      <c r="AB112" s="1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ht="13.5" thickTop="1" thickBot="1" x14ac:dyDescent="0.3">
      <c r="A113" s="74"/>
      <c r="B113" s="71" t="s">
        <v>101</v>
      </c>
      <c r="C113" s="59">
        <f t="shared" ref="C113" si="44">SUM(C103:C112)</f>
        <v>22650</v>
      </c>
      <c r="D113" s="59">
        <f t="shared" ref="D113:E113" si="45">SUM(D103:D112)</f>
        <v>22150</v>
      </c>
      <c r="E113" s="69">
        <f t="shared" si="45"/>
        <v>22900</v>
      </c>
      <c r="F113" s="69">
        <f>SUM(F103:F111)</f>
        <v>18520</v>
      </c>
      <c r="G113" s="69">
        <f t="shared" ref="G113:H113" si="46">SUM(G103:G112)</f>
        <v>23400</v>
      </c>
      <c r="H113" s="69">
        <f t="shared" si="46"/>
        <v>22750</v>
      </c>
      <c r="I113" s="69">
        <f t="shared" ref="I113:J113" si="47">SUM(I103:I112)</f>
        <v>25850</v>
      </c>
      <c r="J113" s="69">
        <f t="shared" si="47"/>
        <v>25550</v>
      </c>
      <c r="K113" s="70">
        <f t="shared" ref="K113" si="48">SUM(K103:K112)</f>
        <v>23600</v>
      </c>
      <c r="L113" s="15">
        <f t="shared" ref="L113" si="49">SUM(L103:L112)</f>
        <v>23750</v>
      </c>
      <c r="M113" s="40">
        <f t="shared" ref="M113:S113" si="50">SUM(M103:M112)</f>
        <v>22250</v>
      </c>
      <c r="N113" s="40">
        <f t="shared" ref="N113" si="51">SUM(N103:N112)</f>
        <v>20744</v>
      </c>
      <c r="O113" s="40">
        <f t="shared" si="50"/>
        <v>24050</v>
      </c>
      <c r="P113" s="40">
        <f t="shared" si="50"/>
        <v>28050</v>
      </c>
      <c r="Q113" s="40">
        <f t="shared" si="50"/>
        <v>21550</v>
      </c>
      <c r="R113" s="40">
        <f t="shared" si="50"/>
        <v>20000</v>
      </c>
      <c r="S113" s="40">
        <f t="shared" si="50"/>
        <v>18700</v>
      </c>
      <c r="T113"/>
      <c r="U113"/>
      <c r="V113" s="44"/>
      <c r="W113"/>
      <c r="X113"/>
      <c r="Y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ht="13" thickTop="1" x14ac:dyDescent="0.25">
      <c r="A114" s="74"/>
      <c r="B114" s="71"/>
      <c r="C114" s="59"/>
      <c r="D114" s="59"/>
      <c r="E114" s="69"/>
      <c r="F114" s="69"/>
      <c r="G114" s="69"/>
      <c r="H114" s="69"/>
      <c r="I114" s="69"/>
      <c r="J114" s="69"/>
      <c r="K114" s="70"/>
      <c r="L114" s="15"/>
      <c r="M114" s="15"/>
      <c r="N114" s="15"/>
      <c r="O114" s="15"/>
      <c r="P114" s="15"/>
      <c r="Q114" s="15"/>
      <c r="R114" s="15"/>
      <c r="S114" s="15"/>
      <c r="T114"/>
      <c r="U114"/>
      <c r="V114" s="44"/>
      <c r="W114"/>
      <c r="X114"/>
      <c r="Y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ht="12.5" x14ac:dyDescent="0.25">
      <c r="A115" s="74" t="s">
        <v>163</v>
      </c>
      <c r="B115" s="71"/>
      <c r="C115" s="59"/>
      <c r="D115" s="59"/>
      <c r="E115" s="69"/>
      <c r="F115" s="69"/>
      <c r="G115" s="69"/>
      <c r="H115" s="69"/>
      <c r="I115" s="69"/>
      <c r="J115" s="69"/>
      <c r="K115" s="70"/>
      <c r="L115" s="15"/>
      <c r="M115" s="15"/>
      <c r="N115" s="15"/>
      <c r="O115" s="15"/>
      <c r="P115" s="15"/>
      <c r="Q115" s="15"/>
      <c r="R115" s="15"/>
      <c r="S115" s="15"/>
      <c r="T115"/>
      <c r="U115"/>
      <c r="V115" s="44"/>
      <c r="W115"/>
      <c r="X115"/>
      <c r="Y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ht="12.5" x14ac:dyDescent="0.25">
      <c r="A116" s="73" t="s">
        <v>177</v>
      </c>
      <c r="B116" s="71" t="s">
        <v>165</v>
      </c>
      <c r="C116" s="59">
        <v>1700</v>
      </c>
      <c r="D116" s="59">
        <v>1200</v>
      </c>
      <c r="E116" s="69">
        <v>1800</v>
      </c>
      <c r="F116" s="69">
        <v>1230</v>
      </c>
      <c r="G116" s="69">
        <v>0</v>
      </c>
      <c r="H116" s="69"/>
      <c r="I116" s="69"/>
      <c r="J116" s="69"/>
      <c r="K116" s="70"/>
      <c r="L116" s="15"/>
      <c r="M116" s="15"/>
      <c r="N116" s="15"/>
      <c r="O116" s="15"/>
      <c r="P116" s="15"/>
      <c r="Q116" s="15"/>
      <c r="R116" s="15"/>
      <c r="S116" s="15"/>
      <c r="T116"/>
      <c r="U116"/>
      <c r="V116" s="44"/>
      <c r="W116"/>
      <c r="X116"/>
      <c r="Y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ht="12.5" x14ac:dyDescent="0.25">
      <c r="A117" s="73" t="s">
        <v>178</v>
      </c>
      <c r="B117" s="71" t="s">
        <v>179</v>
      </c>
      <c r="C117" s="59">
        <v>600</v>
      </c>
      <c r="D117" s="59">
        <v>600</v>
      </c>
      <c r="E117" s="69">
        <v>0</v>
      </c>
      <c r="F117" s="69">
        <v>702</v>
      </c>
      <c r="G117" s="69">
        <v>0</v>
      </c>
      <c r="H117" s="69"/>
      <c r="I117" s="69"/>
      <c r="J117" s="69"/>
      <c r="K117" s="70"/>
      <c r="L117" s="15"/>
      <c r="M117" s="15"/>
      <c r="N117" s="15"/>
      <c r="O117" s="15"/>
      <c r="P117" s="15"/>
      <c r="Q117" s="15"/>
      <c r="R117" s="15"/>
      <c r="S117" s="15"/>
      <c r="T117"/>
      <c r="U117"/>
      <c r="V117" s="44"/>
      <c r="W117"/>
      <c r="X117"/>
      <c r="Y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ht="12.5" x14ac:dyDescent="0.25">
      <c r="A118" s="73" t="s">
        <v>180</v>
      </c>
      <c r="B118" s="71" t="s">
        <v>166</v>
      </c>
      <c r="C118" s="59">
        <v>1400</v>
      </c>
      <c r="D118" s="59">
        <v>500</v>
      </c>
      <c r="E118" s="69">
        <v>600</v>
      </c>
      <c r="F118" s="69">
        <v>503</v>
      </c>
      <c r="G118" s="69">
        <v>0</v>
      </c>
      <c r="H118" s="69"/>
      <c r="I118" s="69"/>
      <c r="J118" s="69"/>
      <c r="K118" s="70"/>
      <c r="L118" s="15"/>
      <c r="M118" s="15"/>
      <c r="N118" s="15"/>
      <c r="O118" s="15"/>
      <c r="P118" s="15"/>
      <c r="Q118" s="15"/>
      <c r="R118" s="15"/>
      <c r="S118" s="15"/>
      <c r="T118"/>
      <c r="U118"/>
      <c r="V118" s="44"/>
      <c r="W118"/>
      <c r="X118"/>
      <c r="Y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ht="12.5" x14ac:dyDescent="0.25">
      <c r="A119" s="73" t="s">
        <v>181</v>
      </c>
      <c r="B119" s="71" t="s">
        <v>182</v>
      </c>
      <c r="C119" s="59">
        <v>150</v>
      </c>
      <c r="D119" s="59">
        <v>2100</v>
      </c>
      <c r="E119" s="69">
        <v>0</v>
      </c>
      <c r="F119" s="69">
        <v>0</v>
      </c>
      <c r="G119" s="69">
        <v>0</v>
      </c>
      <c r="H119" s="69"/>
      <c r="I119" s="69"/>
      <c r="J119" s="69"/>
      <c r="K119" s="70"/>
      <c r="L119" s="15"/>
      <c r="M119" s="15"/>
      <c r="N119" s="15"/>
      <c r="O119" s="15"/>
      <c r="P119" s="15"/>
      <c r="Q119" s="15"/>
      <c r="R119" s="15"/>
      <c r="S119" s="15"/>
      <c r="T119"/>
      <c r="U119"/>
      <c r="V119" s="44"/>
      <c r="W119"/>
      <c r="X119"/>
      <c r="Y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ht="12.5" x14ac:dyDescent="0.25">
      <c r="A120" s="73" t="s">
        <v>183</v>
      </c>
      <c r="B120" s="71" t="s">
        <v>167</v>
      </c>
      <c r="C120" s="59">
        <v>2500</v>
      </c>
      <c r="D120" s="59">
        <v>1500</v>
      </c>
      <c r="E120" s="69">
        <v>3000</v>
      </c>
      <c r="F120" s="69">
        <v>0</v>
      </c>
      <c r="G120" s="69">
        <v>0</v>
      </c>
      <c r="H120" s="69"/>
      <c r="I120" s="69"/>
      <c r="J120" s="69"/>
      <c r="K120" s="70"/>
      <c r="L120" s="15"/>
      <c r="M120" s="15"/>
      <c r="N120" s="15"/>
      <c r="O120" s="15"/>
      <c r="P120" s="15"/>
      <c r="Q120" s="15"/>
      <c r="R120" s="15"/>
      <c r="S120" s="15"/>
      <c r="T120"/>
      <c r="U120"/>
      <c r="V120" s="44"/>
      <c r="W120"/>
      <c r="X120"/>
      <c r="Y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ht="12.5" x14ac:dyDescent="0.25">
      <c r="A121" s="73" t="s">
        <v>185</v>
      </c>
      <c r="B121" s="71" t="s">
        <v>168</v>
      </c>
      <c r="C121" s="59">
        <v>2000</v>
      </c>
      <c r="D121" s="59">
        <v>3000</v>
      </c>
      <c r="E121" s="69">
        <v>1500</v>
      </c>
      <c r="F121" s="69">
        <v>0</v>
      </c>
      <c r="G121" s="69">
        <v>0</v>
      </c>
      <c r="H121" s="69"/>
      <c r="I121" s="69"/>
      <c r="J121" s="69"/>
      <c r="K121" s="70"/>
      <c r="L121" s="15"/>
      <c r="M121" s="15"/>
      <c r="N121" s="15"/>
      <c r="O121" s="15"/>
      <c r="P121" s="15"/>
      <c r="Q121" s="15"/>
      <c r="R121" s="15"/>
      <c r="S121" s="15"/>
      <c r="T121"/>
      <c r="U121"/>
      <c r="V121" s="44"/>
      <c r="W121"/>
      <c r="X121"/>
      <c r="Y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ht="12.5" x14ac:dyDescent="0.25">
      <c r="A122" s="73" t="s">
        <v>184</v>
      </c>
      <c r="B122" s="71" t="s">
        <v>172</v>
      </c>
      <c r="C122" s="59">
        <v>18684</v>
      </c>
      <c r="D122" s="59">
        <v>18684</v>
      </c>
      <c r="E122" s="59">
        <v>18684</v>
      </c>
      <c r="F122" s="59">
        <f>13299+13134</f>
        <v>26433</v>
      </c>
      <c r="G122" s="69">
        <v>0</v>
      </c>
      <c r="H122" s="69"/>
      <c r="I122" s="69"/>
      <c r="J122" s="69"/>
      <c r="K122" s="70"/>
      <c r="L122" s="15"/>
      <c r="M122" s="15"/>
      <c r="N122" s="15"/>
      <c r="O122" s="15"/>
      <c r="P122" s="15"/>
      <c r="Q122" s="15"/>
      <c r="R122" s="15"/>
      <c r="S122" s="15"/>
      <c r="T122"/>
      <c r="U122"/>
      <c r="V122" s="44"/>
      <c r="W122"/>
      <c r="X122"/>
      <c r="Y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ht="12.5" x14ac:dyDescent="0.25">
      <c r="A123" s="74"/>
      <c r="B123" s="71"/>
      <c r="C123" s="59"/>
      <c r="D123" s="59"/>
      <c r="E123" s="69"/>
      <c r="F123" s="69"/>
      <c r="G123" s="69"/>
      <c r="H123" s="69"/>
      <c r="I123" s="69"/>
      <c r="J123" s="69"/>
      <c r="K123" s="70"/>
      <c r="L123" s="15"/>
      <c r="M123" s="15"/>
      <c r="N123" s="15"/>
      <c r="O123" s="15"/>
      <c r="P123" s="15"/>
      <c r="Q123" s="15"/>
      <c r="R123" s="15"/>
      <c r="S123" s="15"/>
      <c r="T123"/>
      <c r="U123"/>
      <c r="V123" s="44"/>
      <c r="W123"/>
      <c r="X123"/>
      <c r="Y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ht="12.5" x14ac:dyDescent="0.25">
      <c r="A124" s="74"/>
      <c r="B124" s="71" t="s">
        <v>170</v>
      </c>
      <c r="C124" s="59">
        <f>SUM(C116:C123)</f>
        <v>27034</v>
      </c>
      <c r="D124" s="59">
        <f>SUM(D116:D123)</f>
        <v>27584</v>
      </c>
      <c r="E124" s="69">
        <f>SUM(E116:E123)</f>
        <v>25584</v>
      </c>
      <c r="F124" s="69">
        <f>SUM(F116:F122)</f>
        <v>28868</v>
      </c>
      <c r="G124" s="69">
        <v>0</v>
      </c>
      <c r="H124" s="69"/>
      <c r="I124" s="69"/>
      <c r="J124" s="69"/>
      <c r="K124" s="70"/>
      <c r="L124" s="15"/>
      <c r="M124" s="15"/>
      <c r="N124" s="15"/>
      <c r="O124" s="15"/>
      <c r="P124" s="15"/>
      <c r="Q124" s="15"/>
      <c r="R124" s="15"/>
      <c r="S124" s="15"/>
      <c r="T124"/>
      <c r="U124"/>
      <c r="V124" s="44"/>
      <c r="W124"/>
      <c r="X124"/>
      <c r="Y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x14ac:dyDescent="0.25">
      <c r="A125" s="73"/>
      <c r="B125" s="71"/>
      <c r="C125" s="59"/>
      <c r="D125" s="59"/>
      <c r="E125" s="69"/>
      <c r="F125" s="69"/>
      <c r="G125" s="69"/>
      <c r="H125" s="69"/>
      <c r="I125" s="69"/>
      <c r="J125" s="69"/>
      <c r="K125" s="70"/>
      <c r="L125" s="15"/>
      <c r="M125" s="15"/>
      <c r="N125" s="15"/>
      <c r="O125" s="15"/>
      <c r="P125" s="15"/>
      <c r="Q125" s="15"/>
      <c r="R125" s="15"/>
      <c r="S125" s="15"/>
      <c r="V125" s="45"/>
    </row>
    <row r="126" spans="1:42" x14ac:dyDescent="0.25">
      <c r="A126" s="74"/>
      <c r="B126" s="71" t="s">
        <v>102</v>
      </c>
      <c r="C126" s="59">
        <f>SUM(C113,C99,C90,C78,C54,C124)</f>
        <v>201744</v>
      </c>
      <c r="D126" s="59">
        <f>SUM(D113,D99,D90,D78,D54,D124)</f>
        <v>192704</v>
      </c>
      <c r="E126" s="69">
        <f>SUM(E113,E99,E90,E78,E54,E124)</f>
        <v>191304</v>
      </c>
      <c r="F126" s="69">
        <f>SUM(F124,F113,F99,F90,F78,F54)</f>
        <v>177853</v>
      </c>
      <c r="G126" s="69">
        <f t="shared" ref="G126:S126" si="52">SUM(G113,G99,G90,G78,G54)</f>
        <v>165755.99874499999</v>
      </c>
      <c r="H126" s="69">
        <f t="shared" si="52"/>
        <v>149335</v>
      </c>
      <c r="I126" s="69">
        <f t="shared" si="52"/>
        <v>167139.04</v>
      </c>
      <c r="J126" s="69">
        <f t="shared" si="52"/>
        <v>166689.04</v>
      </c>
      <c r="K126" s="70">
        <f t="shared" si="52"/>
        <v>167049.04</v>
      </c>
      <c r="L126" s="15">
        <f t="shared" si="52"/>
        <v>160029.04</v>
      </c>
      <c r="M126" s="15">
        <f t="shared" si="52"/>
        <v>156070.04</v>
      </c>
      <c r="N126" s="15">
        <f t="shared" si="52"/>
        <v>152925.54</v>
      </c>
      <c r="O126" s="15">
        <f t="shared" si="52"/>
        <v>366653.25</v>
      </c>
      <c r="P126" s="15">
        <f t="shared" si="52"/>
        <v>121193.75</v>
      </c>
      <c r="Q126" s="15">
        <f t="shared" si="52"/>
        <v>113020</v>
      </c>
      <c r="R126" s="15">
        <f t="shared" si="52"/>
        <v>123267</v>
      </c>
      <c r="S126" s="15">
        <f t="shared" si="52"/>
        <v>216970</v>
      </c>
      <c r="V126" s="45"/>
    </row>
    <row r="127" spans="1:42" x14ac:dyDescent="0.25">
      <c r="A127" s="74"/>
      <c r="B127" s="71"/>
      <c r="C127" s="59"/>
      <c r="D127" s="59"/>
      <c r="E127" s="69"/>
      <c r="F127" s="69"/>
      <c r="G127" s="69"/>
      <c r="H127" s="69"/>
      <c r="I127" s="69"/>
      <c r="J127" s="69"/>
      <c r="K127" s="70"/>
      <c r="L127" s="15"/>
      <c r="M127" s="15"/>
      <c r="N127" s="15"/>
      <c r="O127" s="15"/>
      <c r="P127" s="15"/>
      <c r="Q127" s="15"/>
      <c r="R127" s="15"/>
      <c r="S127" s="15"/>
      <c r="V127" s="45"/>
    </row>
    <row r="128" spans="1:42" x14ac:dyDescent="0.25">
      <c r="A128" s="74"/>
      <c r="B128" s="71"/>
      <c r="C128" s="59"/>
      <c r="D128" s="59"/>
      <c r="E128" s="69"/>
      <c r="F128" s="69"/>
      <c r="G128" s="69"/>
      <c r="H128" s="69"/>
      <c r="I128" s="69"/>
      <c r="J128" s="69"/>
      <c r="K128" s="70"/>
      <c r="L128" s="15"/>
      <c r="M128" s="15"/>
      <c r="N128" s="15"/>
      <c r="O128" s="15"/>
      <c r="P128" s="15"/>
      <c r="Q128" s="15"/>
      <c r="R128" s="15"/>
      <c r="S128" s="15"/>
      <c r="V128" s="45"/>
    </row>
    <row r="129" spans="1:22" x14ac:dyDescent="0.25">
      <c r="A129" s="75"/>
      <c r="B129" s="76" t="s">
        <v>103</v>
      </c>
      <c r="C129" s="83">
        <f t="shared" ref="C129:D129" si="53">C29-C126</f>
        <v>18873</v>
      </c>
      <c r="D129" s="83">
        <f t="shared" si="53"/>
        <v>6453</v>
      </c>
      <c r="E129" s="77">
        <f t="shared" ref="E129:L129" si="54">E29-E126</f>
        <v>17423</v>
      </c>
      <c r="F129" s="77">
        <f t="shared" si="54"/>
        <v>6084</v>
      </c>
      <c r="G129" s="77">
        <f t="shared" si="54"/>
        <v>34101.00125500001</v>
      </c>
      <c r="H129" s="77">
        <f t="shared" si="54"/>
        <v>39582</v>
      </c>
      <c r="I129" s="77">
        <f t="shared" si="54"/>
        <v>8387.9599999999919</v>
      </c>
      <c r="J129" s="77">
        <f t="shared" si="54"/>
        <v>8837.9599999999919</v>
      </c>
      <c r="K129" s="78">
        <f t="shared" si="54"/>
        <v>4432.9599999999919</v>
      </c>
      <c r="L129" s="15">
        <f t="shared" si="54"/>
        <v>8795.9599999999919</v>
      </c>
      <c r="M129" s="15" t="e">
        <f>M29-M126-#REF!</f>
        <v>#REF!</v>
      </c>
      <c r="N129" s="15" t="e">
        <f>N29-N126-#REF!</f>
        <v>#REF!</v>
      </c>
      <c r="O129" s="15" t="e">
        <f>O29-O126-#REF!</f>
        <v>#REF!</v>
      </c>
      <c r="P129" s="15">
        <f>P29-P126</f>
        <v>9077.3999999999942</v>
      </c>
      <c r="Q129" s="15">
        <f>Q29-Q126</f>
        <v>11426</v>
      </c>
      <c r="R129" s="15">
        <f>R29-R126</f>
        <v>4988</v>
      </c>
      <c r="S129" s="15">
        <f>S29-S126</f>
        <v>-93975</v>
      </c>
      <c r="V129" s="45"/>
    </row>
    <row r="130" spans="1:22" x14ac:dyDescent="0.25">
      <c r="A130" s="14"/>
      <c r="R130" s="15"/>
      <c r="S130" s="15"/>
    </row>
    <row r="131" spans="1:22" x14ac:dyDescent="0.25">
      <c r="A131" s="14"/>
      <c r="R131" s="15"/>
      <c r="S131" s="15"/>
    </row>
    <row r="132" spans="1:22" x14ac:dyDescent="0.25">
      <c r="A132" s="14"/>
      <c r="R132" s="15"/>
      <c r="S132" s="15"/>
    </row>
    <row r="133" spans="1:22" x14ac:dyDescent="0.25">
      <c r="A133" s="14"/>
    </row>
    <row r="134" spans="1:22" x14ac:dyDescent="0.25">
      <c r="A134" s="14"/>
    </row>
    <row r="135" spans="1:22" x14ac:dyDescent="0.25">
      <c r="A135" s="14"/>
    </row>
  </sheetData>
  <phoneticPr fontId="4" type="noConversion"/>
  <printOptions gridLines="1"/>
  <pageMargins left="1" right="1" top="0.75" bottom="0.5" header="0.5" footer="0.5"/>
  <pageSetup scale="99" orientation="portrait" r:id="rId1"/>
  <headerFooter alignWithMargins="0">
    <oddHeader>&amp;C2021 Budget Proposal</oddHeader>
  </headerFooter>
  <rowBreaks count="1" manualBreakCount="1">
    <brk id="78" max="13" man="1"/>
  </rowBreaks>
  <colBreaks count="1" manualBreakCount="1">
    <brk id="4" min="1" max="1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workbookViewId="0">
      <selection activeCell="D14" sqref="D14:D17"/>
    </sheetView>
  </sheetViews>
  <sheetFormatPr defaultRowHeight="12.5" x14ac:dyDescent="0.25"/>
  <cols>
    <col min="1" max="1" width="22.54296875" customWidth="1"/>
    <col min="4" max="4" width="12.81640625" customWidth="1"/>
  </cols>
  <sheetData>
    <row r="1" spans="1:4" ht="15.5" x14ac:dyDescent="0.35">
      <c r="A1" s="16" t="s">
        <v>104</v>
      </c>
      <c r="B1" s="16"/>
      <c r="C1" s="16"/>
      <c r="D1" s="16"/>
    </row>
    <row r="2" spans="1:4" ht="15.5" x14ac:dyDescent="0.35">
      <c r="A2" s="16"/>
      <c r="B2" s="16"/>
      <c r="C2" s="16"/>
      <c r="D2" s="16"/>
    </row>
    <row r="3" spans="1:4" ht="15.5" x14ac:dyDescent="0.35">
      <c r="A3" s="16"/>
      <c r="B3" s="16"/>
      <c r="C3" s="16"/>
      <c r="D3" s="16"/>
    </row>
    <row r="4" spans="1:4" ht="15.5" x14ac:dyDescent="0.35">
      <c r="A4" s="17" t="s">
        <v>105</v>
      </c>
      <c r="B4" s="16"/>
      <c r="C4" s="16"/>
      <c r="D4" s="16"/>
    </row>
    <row r="5" spans="1:4" ht="15.5" x14ac:dyDescent="0.35">
      <c r="A5" s="19" t="s">
        <v>107</v>
      </c>
      <c r="B5" s="20" t="s">
        <v>108</v>
      </c>
      <c r="C5" s="20" t="s">
        <v>109</v>
      </c>
      <c r="D5" s="21" t="s">
        <v>110</v>
      </c>
    </row>
    <row r="6" spans="1:4" ht="15.5" x14ac:dyDescent="0.35">
      <c r="A6" s="22" t="s">
        <v>106</v>
      </c>
      <c r="B6" s="23">
        <v>360</v>
      </c>
      <c r="C6" s="24">
        <v>16.25</v>
      </c>
      <c r="D6" s="25">
        <f>B6*C6</f>
        <v>5850</v>
      </c>
    </row>
    <row r="7" spans="1:4" ht="15.5" x14ac:dyDescent="0.35">
      <c r="A7" s="26" t="s">
        <v>111</v>
      </c>
      <c r="B7" s="27">
        <v>2425</v>
      </c>
      <c r="C7" s="28">
        <v>8.56</v>
      </c>
      <c r="D7" s="29">
        <f>B7*C7</f>
        <v>20758</v>
      </c>
    </row>
    <row r="8" spans="1:4" ht="15.5" x14ac:dyDescent="0.35">
      <c r="A8" s="26" t="s">
        <v>26</v>
      </c>
      <c r="B8" s="27">
        <v>386</v>
      </c>
      <c r="C8" s="28">
        <v>9.5</v>
      </c>
      <c r="D8" s="29">
        <f>B8*C8</f>
        <v>3667</v>
      </c>
    </row>
    <row r="9" spans="1:4" ht="15.5" x14ac:dyDescent="0.35">
      <c r="A9" s="30" t="s">
        <v>112</v>
      </c>
      <c r="B9" s="31">
        <v>89</v>
      </c>
      <c r="C9" s="32">
        <v>9</v>
      </c>
      <c r="D9" s="33">
        <f>B9*C9</f>
        <v>801</v>
      </c>
    </row>
    <row r="10" spans="1:4" ht="15.5" x14ac:dyDescent="0.35">
      <c r="A10" s="16"/>
      <c r="B10" s="16"/>
      <c r="C10" s="18"/>
      <c r="D10" s="18"/>
    </row>
    <row r="11" spans="1:4" ht="15.5" x14ac:dyDescent="0.35">
      <c r="A11" s="16"/>
      <c r="B11" s="16"/>
      <c r="C11" s="16"/>
      <c r="D11" s="16"/>
    </row>
    <row r="12" spans="1:4" ht="15.5" x14ac:dyDescent="0.35">
      <c r="A12" s="17" t="s">
        <v>113</v>
      </c>
      <c r="B12" s="16"/>
      <c r="C12" s="16"/>
      <c r="D12" s="16"/>
    </row>
    <row r="13" spans="1:4" ht="15.5" x14ac:dyDescent="0.35">
      <c r="A13" s="19" t="s">
        <v>107</v>
      </c>
      <c r="B13" s="20" t="s">
        <v>108</v>
      </c>
      <c r="C13" s="20" t="s">
        <v>109</v>
      </c>
      <c r="D13" s="21" t="s">
        <v>110</v>
      </c>
    </row>
    <row r="14" spans="1:4" ht="15.5" x14ac:dyDescent="0.35">
      <c r="A14" s="22" t="s">
        <v>114</v>
      </c>
      <c r="B14" s="23">
        <v>400</v>
      </c>
      <c r="C14" s="23">
        <v>17</v>
      </c>
      <c r="D14" s="25">
        <f>B14*C14</f>
        <v>6800</v>
      </c>
    </row>
    <row r="15" spans="1:4" ht="15.5" x14ac:dyDescent="0.35">
      <c r="A15" s="26" t="s">
        <v>111</v>
      </c>
      <c r="B15" s="27">
        <v>2500</v>
      </c>
      <c r="C15" s="27">
        <v>9.25</v>
      </c>
      <c r="D15" s="29">
        <f>B15*C15</f>
        <v>23125</v>
      </c>
    </row>
    <row r="16" spans="1:4" ht="15.5" x14ac:dyDescent="0.35">
      <c r="A16" s="26" t="s">
        <v>26</v>
      </c>
      <c r="B16" s="27">
        <v>400</v>
      </c>
      <c r="C16" s="27">
        <v>9.5</v>
      </c>
      <c r="D16" s="29">
        <f>B16*C16</f>
        <v>3800</v>
      </c>
    </row>
    <row r="17" spans="1:4" ht="15.5" x14ac:dyDescent="0.35">
      <c r="A17" s="30" t="s">
        <v>112</v>
      </c>
      <c r="B17" s="31">
        <v>100</v>
      </c>
      <c r="C17" s="31">
        <v>9.5</v>
      </c>
      <c r="D17" s="33">
        <f>B17*C17</f>
        <v>950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8"/>
  <sheetViews>
    <sheetView workbookViewId="0">
      <selection activeCell="D11" sqref="D11"/>
    </sheetView>
  </sheetViews>
  <sheetFormatPr defaultRowHeight="12.5" x14ac:dyDescent="0.25"/>
  <cols>
    <col min="1" max="1" width="26.1796875" customWidth="1"/>
  </cols>
  <sheetData>
    <row r="1" spans="1:2" ht="13" x14ac:dyDescent="0.3">
      <c r="A1" s="50" t="s">
        <v>132</v>
      </c>
    </row>
    <row r="4" spans="1:2" ht="13" x14ac:dyDescent="0.3">
      <c r="A4" s="50" t="s">
        <v>142</v>
      </c>
      <c r="B4" s="49"/>
    </row>
    <row r="5" spans="1:2" x14ac:dyDescent="0.25">
      <c r="A5" t="s">
        <v>133</v>
      </c>
      <c r="B5" s="49">
        <f>39524</f>
        <v>39524</v>
      </c>
    </row>
    <row r="6" spans="1:2" x14ac:dyDescent="0.25">
      <c r="A6" t="s">
        <v>134</v>
      </c>
      <c r="B6" s="49">
        <f>120445*1.03</f>
        <v>124058.35</v>
      </c>
    </row>
    <row r="7" spans="1:2" x14ac:dyDescent="0.25">
      <c r="A7" t="s">
        <v>135</v>
      </c>
      <c r="B7" s="49">
        <f>47254*1.03</f>
        <v>48671.62</v>
      </c>
    </row>
    <row r="8" spans="1:2" x14ac:dyDescent="0.25">
      <c r="A8" t="s">
        <v>136</v>
      </c>
      <c r="B8" s="49">
        <v>5000</v>
      </c>
    </row>
    <row r="9" spans="1:2" x14ac:dyDescent="0.25">
      <c r="A9" t="s">
        <v>137</v>
      </c>
      <c r="B9" s="49">
        <v>3500</v>
      </c>
    </row>
    <row r="10" spans="1:2" x14ac:dyDescent="0.25">
      <c r="A10" t="s">
        <v>138</v>
      </c>
      <c r="B10" s="49">
        <v>7000</v>
      </c>
    </row>
    <row r="11" spans="1:2" x14ac:dyDescent="0.25">
      <c r="A11" t="s">
        <v>139</v>
      </c>
      <c r="B11" s="49">
        <v>1000</v>
      </c>
    </row>
    <row r="12" spans="1:2" x14ac:dyDescent="0.25">
      <c r="A12" t="s">
        <v>140</v>
      </c>
      <c r="B12" s="49">
        <v>1000</v>
      </c>
    </row>
    <row r="13" spans="1:2" ht="13" x14ac:dyDescent="0.3">
      <c r="B13" s="51">
        <f>SUM(B5:B12)</f>
        <v>229753.97</v>
      </c>
    </row>
    <row r="14" spans="1:2" x14ac:dyDescent="0.25">
      <c r="B14" s="49"/>
    </row>
    <row r="15" spans="1:2" ht="13" x14ac:dyDescent="0.3">
      <c r="A15" s="50" t="s">
        <v>143</v>
      </c>
      <c r="B15" s="49"/>
    </row>
    <row r="16" spans="1:2" x14ac:dyDescent="0.25">
      <c r="A16" t="s">
        <v>154</v>
      </c>
      <c r="B16" s="49">
        <v>75000</v>
      </c>
    </row>
    <row r="17" spans="1:2" ht="13" x14ac:dyDescent="0.3">
      <c r="B17" s="51">
        <f>SUM(B16)</f>
        <v>75000</v>
      </c>
    </row>
    <row r="18" spans="1:2" x14ac:dyDescent="0.25">
      <c r="B18" s="49"/>
    </row>
    <row r="19" spans="1:2" x14ac:dyDescent="0.25">
      <c r="B19" s="49"/>
    </row>
    <row r="20" spans="1:2" x14ac:dyDescent="0.25">
      <c r="A20" t="s">
        <v>141</v>
      </c>
      <c r="B20" s="49">
        <v>130000</v>
      </c>
    </row>
    <row r="21" spans="1:2" x14ac:dyDescent="0.25">
      <c r="A21" t="s">
        <v>145</v>
      </c>
      <c r="B21" s="49">
        <v>-50000</v>
      </c>
    </row>
    <row r="22" spans="1:2" ht="13" x14ac:dyDescent="0.3">
      <c r="A22" t="s">
        <v>155</v>
      </c>
      <c r="B22" s="51">
        <f>SUM(B20:B21)</f>
        <v>80000</v>
      </c>
    </row>
    <row r="23" spans="1:2" x14ac:dyDescent="0.25">
      <c r="B23" s="49"/>
    </row>
    <row r="24" spans="1:2" x14ac:dyDescent="0.25">
      <c r="B24" s="49"/>
    </row>
    <row r="25" spans="1:2" ht="13" x14ac:dyDescent="0.3">
      <c r="A25" t="s">
        <v>144</v>
      </c>
      <c r="B25" s="51">
        <f>SUM(B22,B17,B13)</f>
        <v>384753.97</v>
      </c>
    </row>
    <row r="28" spans="1:2" ht="13" x14ac:dyDescent="0.3">
      <c r="A28" t="s">
        <v>146</v>
      </c>
      <c r="B28" s="51">
        <f>B13</f>
        <v>229753.97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2009</vt:lpstr>
      <vt:lpstr>lifeguards</vt:lpstr>
      <vt:lpstr>Costs</vt:lpstr>
      <vt:lpstr>'2009'!Print_Area</vt:lpstr>
    </vt:vector>
  </TitlesOfParts>
  <Company>Maple Hills Maintence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Maple Hills Accounting</dc:creator>
  <cp:lastModifiedBy>Katie Johnson</cp:lastModifiedBy>
  <cp:lastPrinted>2020-10-21T15:22:15Z</cp:lastPrinted>
  <dcterms:created xsi:type="dcterms:W3CDTF">2003-10-08T02:07:11Z</dcterms:created>
  <dcterms:modified xsi:type="dcterms:W3CDTF">2024-01-10T03:48:38Z</dcterms:modified>
</cp:coreProperties>
</file>